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560" windowWidth="10245" windowHeight="6285" tabRatio="743" activeTab="5"/>
  </bookViews>
  <sheets>
    <sheet name="hoaki dram19" sheetId="1" r:id="rId1"/>
    <sheet name="hoaki past19" sheetId="2" r:id="rId2"/>
    <sheet name="HOAK,AMPOP" sheetId="3" r:id="rId3"/>
    <sheet name="2019dram" sheetId="4" r:id="rId4"/>
    <sheet name="2019past" sheetId="5" r:id="rId5"/>
    <sheet name="AMPOP" sheetId="6" r:id="rId6"/>
  </sheets>
  <definedNames>
    <definedName name="_xlnm.Print_Area" localSheetId="3">'2019dram'!$A$2:$AP$46</definedName>
    <definedName name="_xlnm.Print_Area" localSheetId="4">'2019past'!$A$1:$CL$46</definedName>
    <definedName name="_xlnm.Print_Area" localSheetId="5">'AMPOP'!$A$1:$M$54</definedName>
  </definedNames>
  <calcPr fullCalcOnLoad="1"/>
</workbook>
</file>

<file path=xl/sharedStrings.xml><?xml version="1.0" encoding="utf-8"?>
<sst xmlns="http://schemas.openxmlformats.org/spreadsheetml/2006/main" count="477" uniqueCount="252">
  <si>
    <t>Ð³Ù³ÛÝ.³ÛÉ Í³é³Û.1-3-3</t>
  </si>
  <si>
    <t>Ð³Ù³ÛÝ.³ÛÉ Í³é³Û.1-6-1</t>
  </si>
  <si>
    <t>4269</t>
  </si>
  <si>
    <t>4111</t>
  </si>
  <si>
    <t>4212</t>
  </si>
  <si>
    <t>4213</t>
  </si>
  <si>
    <t>4214</t>
  </si>
  <si>
    <t>4221-4222</t>
  </si>
  <si>
    <t>4232</t>
  </si>
  <si>
    <t>4234</t>
  </si>
  <si>
    <t>4237</t>
  </si>
  <si>
    <t>4239</t>
  </si>
  <si>
    <t>4241</t>
  </si>
  <si>
    <t>4251</t>
  </si>
  <si>
    <t>4252</t>
  </si>
  <si>
    <t xml:space="preserve"> 4261</t>
  </si>
  <si>
    <t xml:space="preserve"> </t>
  </si>
  <si>
    <t>0010</t>
  </si>
  <si>
    <t>1500</t>
  </si>
  <si>
    <t>ÀÝ¹.üáÝ¹³ÛÇÝ µÛáõç»</t>
  </si>
  <si>
    <t>ÀÜ¸²ØºÜÀ</t>
  </si>
  <si>
    <t>²ñí»ëïÇ ¹åñáó</t>
  </si>
  <si>
    <t>î º Ô º Î ² Ü ø</t>
  </si>
  <si>
    <t>²Ýí³ÝáõÙÁ</t>
  </si>
  <si>
    <t>Ñá¹í³Í N</t>
  </si>
  <si>
    <t>Ð³ëï³ïí³Í ¿ µÛáõç»áí</t>
  </si>
  <si>
    <t>ÀÝÃ³óÇÏ Í³Ëë»ñ</t>
  </si>
  <si>
    <t>²ßË³ï³í³ñÓ</t>
  </si>
  <si>
    <t>¶ñ³ë»ÝÛ.³åñ. ¨ ÝÛáõÃ»ñ</t>
  </si>
  <si>
    <t>2100</t>
  </si>
  <si>
    <t>·áñÍáõÕáõÙ ¨ Í³é. áõÕ¨áñ.</t>
  </si>
  <si>
    <t>2650-2700</t>
  </si>
  <si>
    <t>2800-2900</t>
  </si>
  <si>
    <t>Ï³åÇ Í³é³ÛáõÃÛáõÝ</t>
  </si>
  <si>
    <t>3000-3400</t>
  </si>
  <si>
    <t>3500-3550</t>
  </si>
  <si>
    <t xml:space="preserve">Ñ³ñÏ»ñ,ïáõñù»ñ ¨ ³ÛÉ </t>
  </si>
  <si>
    <t>4300</t>
  </si>
  <si>
    <t>Ý»ñÏ³Û³óáõóã³Ï³Ý Í³Ëë»ñ</t>
  </si>
  <si>
    <t>4970</t>
  </si>
  <si>
    <t>5600</t>
  </si>
  <si>
    <t>å³Ñáõëï³ÛÇÝ ýáÝ¹</t>
  </si>
  <si>
    <t>X</t>
  </si>
  <si>
    <t>Î³åÇï³É  Í³Ëë»ñ</t>
  </si>
  <si>
    <t>Ý³Ë³·Í³Ñ»ï³Ë. Í³Ëë»ñ</t>
  </si>
  <si>
    <t>6400</t>
  </si>
  <si>
    <t>6800</t>
  </si>
  <si>
    <t>ß³ËÙ³ïÇ ¹åñáó</t>
  </si>
  <si>
    <t xml:space="preserve">×ßïí³Í µÛáõç»      </t>
  </si>
  <si>
    <t>². ¶ðÆ¶àðÚ²Ü</t>
  </si>
  <si>
    <t>5122</t>
  </si>
  <si>
    <t>4264</t>
  </si>
  <si>
    <t>4267</t>
  </si>
  <si>
    <t>4511</t>
  </si>
  <si>
    <t>4729</t>
  </si>
  <si>
    <t>4819</t>
  </si>
  <si>
    <t>5113</t>
  </si>
  <si>
    <t>5121</t>
  </si>
  <si>
    <t>5129</t>
  </si>
  <si>
    <t>5134</t>
  </si>
  <si>
    <t>4823</t>
  </si>
  <si>
    <t>¾Ý»ñ·»ïÇÏ Í³é³ÛáõÃÛáõÝ</t>
  </si>
  <si>
    <t xml:space="preserve">ÎáÙáõÝ³É Í³é³ÛáõÃÛáõÝ </t>
  </si>
  <si>
    <t>Ñ³Ù³Ï³ñ·ã³ÛÇÝ  Í³é³ÛáõÃÛáõÝ</t>
  </si>
  <si>
    <t>ï»Õ»Ï³ïí³Ï³Ý Í³é³ÛáõÃÛáõÝ</t>
  </si>
  <si>
    <t>Ù³ëÝ³·Çï³Ï³Ý Í³é³ÛáõÃÛáõÝÝ»ñ</t>
  </si>
  <si>
    <t>ß»Ýù»ñÇ ÁÝÃ³óÇÏ Ýáñá·áõÙ ¨ å³Ñå.</t>
  </si>
  <si>
    <t>Ù»ù.ë³ñù.ÁÝÃ³óÇÏ Ýáñá·áõÙ</t>
  </si>
  <si>
    <t>ïñ³Ýëåáñï³ÛÇÝ ÝÛáõÃ»ñ</t>
  </si>
  <si>
    <t>Ï»Ýó³Õ³ÛÇÝ¨Ñ³Ýñ³ÛÇÝ ëÝÝ¹Ç ÝÛáõÃ»ñ</t>
  </si>
  <si>
    <t>³ÛÉ Ù»ù»Ý³Ý»ñ ¨ ë³ñù³íáñáõÙÝ»ñ</t>
  </si>
  <si>
    <t>ëáõµëÇ¹Ç³</t>
  </si>
  <si>
    <t>ëáóÇ³É³Ï³Ý û·ÝáõÃÛáõÝ</t>
  </si>
  <si>
    <t>å³ñ·¨³ïñáõÙ</t>
  </si>
  <si>
    <t>4112</t>
  </si>
  <si>
    <t>Ñ³ïáõÏ Ýå³ï³Ï.³ÛÉ ÝÛáõÃ»ñ</t>
  </si>
  <si>
    <t>³éáÕç³å³Ñ. ¨ É³µáñ. ÝÛáõÃ»ñ</t>
  </si>
  <si>
    <t>³å³Ñáí³·ñáõÃÛáõÝ</t>
  </si>
  <si>
    <t>4215</t>
  </si>
  <si>
    <t>4262</t>
  </si>
  <si>
    <t xml:space="preserve">¶ÛáõÕ³ïÝï»ë³Ï³Ý  ÝÛáõÃ»ñ   </t>
  </si>
  <si>
    <t>4637</t>
  </si>
  <si>
    <t>5112</t>
  </si>
  <si>
    <t>´³ñ»Ï³ñ·áõÙ ïÝûñ.6-6-1</t>
  </si>
  <si>
    <t>å»ï.ÏáÕÙ. å³ïíÇñ³Ïí³Í</t>
  </si>
  <si>
    <t>êáõµëÇ¹Ç³ Ñ³Ù³ÛÝùÇ µÛáõç»Çó</t>
  </si>
  <si>
    <t>ïñ³Ýëåáñï³ÛÇÝ  ë³ñù³íáñáõÙ</t>
  </si>
  <si>
    <t xml:space="preserve">  </t>
  </si>
  <si>
    <t>í³ñã³Ï³Ý  ë³ñù³íáñáõÙÝ»ñ</t>
  </si>
  <si>
    <t>3014.9</t>
  </si>
  <si>
    <t>54.6</t>
  </si>
  <si>
    <t>29.4</t>
  </si>
  <si>
    <t>¹»µիտորական պարտք Ñ³½.¹ñ³Ù01.01.09</t>
  </si>
  <si>
    <t>3098.9</t>
  </si>
  <si>
    <t>Ðá¹í³ÍÝ»ñ</t>
  </si>
  <si>
    <t>¹ñ³Ù³ñÏ Õ³ÛÇÝ Í³Ëë</t>
  </si>
  <si>
    <t>÷³ëï³óÇ         Í³Ëë</t>
  </si>
  <si>
    <t>4266</t>
  </si>
  <si>
    <t>ÁÙµß³Ù³ñïÇ ¹åñáó</t>
  </si>
  <si>
    <t>´³ñ»Ï³. ïÝûñ. çñ³Ù.6-3-1</t>
  </si>
  <si>
    <t>Ï³Ý³ã³å³ïáõÙ  5-6-1</t>
  </si>
  <si>
    <t>²Õµ³Ñ³ÝáõÙ   5-1-1</t>
  </si>
  <si>
    <t>Éáõë³íáñáõÃÛáõÝ  6-4-1</t>
  </si>
  <si>
    <t>Ö³Ý³å³ñÑ.տրանս  4-5,1</t>
  </si>
  <si>
    <t>Ընդամենը</t>
  </si>
  <si>
    <t>8411</t>
  </si>
  <si>
    <t>դրամաշնորհ</t>
  </si>
  <si>
    <t>Քաղաքապետարան.6-1-1</t>
  </si>
  <si>
    <t>տրանսպորտային սարքավորում.</t>
  </si>
  <si>
    <t xml:space="preserve">                 ¶ÈÊ²ìàð üÆÜ²ÜêÆêîª </t>
  </si>
  <si>
    <t xml:space="preserve">                  ¶ÈÊ²ìàð üÆÜ²ÜêÆêîª </t>
  </si>
  <si>
    <t xml:space="preserve">    ². ¶ðÆ¶àðÚ²Ü</t>
  </si>
  <si>
    <t xml:space="preserve">   ². ¶ðÆ¶àðÚ²Ü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</si>
  <si>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</si>
  <si>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Լուսավորություն</t>
  </si>
  <si>
    <t>Ընդամենը եկամուտներ</t>
  </si>
  <si>
    <t>այլ մուտքեր</t>
  </si>
  <si>
    <t>սուբսիդիա</t>
  </si>
  <si>
    <t xml:space="preserve">4212  </t>
  </si>
  <si>
    <t>Ընդամենը  դտ պարտքեր ծախս. Գծով</t>
  </si>
  <si>
    <t>սուբսիդիա դտ պարտքեր եկ. Գծով</t>
  </si>
  <si>
    <t>հաշվետու ժամանակաշրջանի ծախսեր</t>
  </si>
  <si>
    <t>Ընդամենը  ՀՈԱԿ</t>
  </si>
  <si>
    <t>ø³Õ³ù³å»ï³ñ³Ý  1-1-1</t>
  </si>
  <si>
    <t xml:space="preserve"> ¼³·ë  1-3-1</t>
  </si>
  <si>
    <t xml:space="preserve"> ÙÇçáó³éáõÙ 8-2-4</t>
  </si>
  <si>
    <t>Ընդամենը   բյուջետային հիմն</t>
  </si>
  <si>
    <t>ÀÝ¹.ընթացիկ ծախսեր</t>
  </si>
  <si>
    <t>ÀÜ¸²ØºÜÀ  ծախսեր</t>
  </si>
  <si>
    <t>êáó. ³å³ÑáíáõÃÛáõÝ  10-7-1</t>
  </si>
  <si>
    <t>Երաժշտական ¹åñáó</t>
  </si>
  <si>
    <t xml:space="preserve"> Ù³ñ½³¹åñáó</t>
  </si>
  <si>
    <t>ÂÇí  5 Ùանկապարտեզ</t>
  </si>
  <si>
    <t>ÂÇí  4 Ùանկապարտեզ</t>
  </si>
  <si>
    <t>ÂÇí  3 Ùանկապարտեզ</t>
  </si>
  <si>
    <t>ÂÇí  2 Ùանկապարտեզ</t>
  </si>
  <si>
    <t>ÂÇí  1 Ùանկապարտեզ</t>
  </si>
  <si>
    <t>ÂÇí  6 Ùանկապարտեզ</t>
  </si>
  <si>
    <t>ÂÇí  7 Ùանկապարտեզ</t>
  </si>
  <si>
    <t>ÂÇí  8 Ùանկապարտեզ</t>
  </si>
  <si>
    <t>ÂÇí  9 Ùանկապարտեզ</t>
  </si>
  <si>
    <t>ÂÇí  10 Ùանկապարտեզ</t>
  </si>
  <si>
    <t>ÂÇí  11 Ùանկապարտեզ</t>
  </si>
  <si>
    <t>ÂÇí  12 Ùանկապարտեզ</t>
  </si>
  <si>
    <t>Ընդամենը ՀՈԱԿ-ներ</t>
  </si>
  <si>
    <t>ÀÝ¹³Ù»ÝÁ  mank 9-1-1</t>
  </si>
  <si>
    <t>ÀÝ¹³Ù»ÝÁ  արտադպ.9-5-1</t>
  </si>
  <si>
    <t>Ùßակույթի  ïáõÝ  8-2-3</t>
  </si>
  <si>
    <t>¼µáë³Û·Ç  8-2-4</t>
  </si>
  <si>
    <t>¶ñ³¹³ñ³Ý  8-2-1</t>
  </si>
  <si>
    <t>æñ³Ù³ï³Ï³ñ³ñ  4-2-4</t>
  </si>
  <si>
    <t>Լուսավորություն  6-4-1</t>
  </si>
  <si>
    <t>գյուղատնտեսական ապրանքներ</t>
  </si>
  <si>
    <t>¹ñ³Ù. ÙÇçáóÝ»ñÇ ÙÝ³óáñ¹Á</t>
  </si>
  <si>
    <t>ÁÝ¹Ñ³Ýáõñ µÝáõÛÃÇ ³ÛÉ Í³Ëë»ñ</t>
  </si>
  <si>
    <t>նվիրատվություն</t>
  </si>
  <si>
    <t>ä³Ñáõëï³ÛÇÝ ÙÇçáóÝ»ñ 11 - 1 -2</t>
  </si>
  <si>
    <t>àչ ֆին.  Ակտ.իր. մուտքեր 4-9-1</t>
  </si>
  <si>
    <t>5111</t>
  </si>
  <si>
    <t>ß»Ýù»ñÇ ¨ßÇÝ.  ձեռք  բերում</t>
  </si>
  <si>
    <t>ß»Ýù»ñÇ ¨ßÇÝ.  Ï³å.Ýáñá·áõÙ</t>
  </si>
  <si>
    <t>4221</t>
  </si>
  <si>
    <t>4222</t>
  </si>
  <si>
    <t>·áñÍ. ¨ Í³é. áõÕ¨áñ.  Արտասահմ.</t>
  </si>
  <si>
    <t>·áñÍ. ¨ Í³é. áõÕ¨áñ. Ներքին</t>
  </si>
  <si>
    <t>ß»Ýù»ñÇ ¨ßÇÝ.-Ç Ï³å.Ýáñá·áõÙ</t>
  </si>
  <si>
    <t>ß»Ýù»ñÇ ¨ßÇÝ. Ï³ռուցáõÙ</t>
  </si>
  <si>
    <t>Ծանոթու-  թյուն</t>
  </si>
  <si>
    <t>Ðá¹í³Í-  Ý»ñ</t>
  </si>
  <si>
    <t>4221/  4222</t>
  </si>
  <si>
    <t>ÀÜ¸² -ØºÜÀ</t>
  </si>
  <si>
    <t>ÀÝ¹.կապ   ծախսեր</t>
  </si>
  <si>
    <t>ÀÝ¹.í³ñã³ Ï³Ý µÛáõç»</t>
  </si>
  <si>
    <t>¹ñ³Ù³ñÏÕ³ÛÇÝ Í³Ëë</t>
  </si>
  <si>
    <t>Ընդամենը օտարումից մուտքեր</t>
  </si>
  <si>
    <t xml:space="preserve">ÀÜ¸²ØºÜÀ  ԾԱԽՍԵՐ  </t>
  </si>
  <si>
    <t>գույքիօտարում</t>
  </si>
  <si>
    <t xml:space="preserve"> հողի  օտարում</t>
  </si>
  <si>
    <t>Ընդամենը   բյուջետային հիմնարկներ</t>
  </si>
  <si>
    <t xml:space="preserve">   </t>
  </si>
  <si>
    <t xml:space="preserve">                  ¶ÈÊ²ìàð  ՀԱՇՎԱՊԱՀª </t>
  </si>
  <si>
    <t xml:space="preserve">    Օ. ՄԱՐՏԻՐՈՍÚ²Ü</t>
  </si>
  <si>
    <t xml:space="preserve">                 ¶ÈÊ²ìàð  ՄԱՍՆԱԳԵՏª </t>
  </si>
  <si>
    <t xml:space="preserve">   Օ. ՄԱՐՏԻՐՈՍÚ²Ü</t>
  </si>
  <si>
    <t xml:space="preserve">                         </t>
  </si>
  <si>
    <t>ՀԱՄԱՅՆՔԻ ՂԵԿԱՎԱՐԻ՝</t>
  </si>
  <si>
    <t xml:space="preserve">      </t>
  </si>
  <si>
    <t>Թիվ 1 մանկապարտեզ</t>
  </si>
  <si>
    <t>Թիվ 2 մանկապարտեզ</t>
  </si>
  <si>
    <t>Թիվ 3 մանկապարտեզ</t>
  </si>
  <si>
    <t>Թիվ 4 մանկապարտեզ</t>
  </si>
  <si>
    <t>Թիվ 5 մանկապարտեզ</t>
  </si>
  <si>
    <t>Թիվ 6 մանկապարտեզ</t>
  </si>
  <si>
    <t>Թիվ 7 մանկապարտեզ</t>
  </si>
  <si>
    <t>Թիվ 8 մանկապարտեզ</t>
  </si>
  <si>
    <t>Թիվ 9 մանկապարտեզ</t>
  </si>
  <si>
    <t>Թիվ 10 մանկապարտեզ</t>
  </si>
  <si>
    <t>Թիվ 11 մանկապարտեզ</t>
  </si>
  <si>
    <t>Թիվ 12 մանկապարտեզ</t>
  </si>
  <si>
    <t>Արվեստի դպրոց</t>
  </si>
  <si>
    <t>Երաժշտական դպրոց</t>
  </si>
  <si>
    <t>Մարզադպրոց</t>
  </si>
  <si>
    <t>Ըմբշամարտի դպրոց</t>
  </si>
  <si>
    <t>Շախմատի դպրոց</t>
  </si>
  <si>
    <t>Ընդամենը  արտադպ.</t>
  </si>
  <si>
    <t>Ընդամենը մանկ</t>
  </si>
  <si>
    <t>Զբոսայգի</t>
  </si>
  <si>
    <t>Գրադարան</t>
  </si>
  <si>
    <t>Ջրամատակարար</t>
  </si>
  <si>
    <t>Ընդ. Վարչական բյուջե</t>
  </si>
  <si>
    <t>Ընդ. Ֆոնդային բյուջե</t>
  </si>
  <si>
    <t>ԸՆԴԱՄԵՆԸ</t>
  </si>
  <si>
    <t>Ընդ.ընթացիկ պարտք</t>
  </si>
  <si>
    <t>Ընդ.կապիտալ պարտք</t>
  </si>
  <si>
    <t>ԸՆԴԱՄԵՆԸ   պարտք</t>
  </si>
  <si>
    <t>Մßակույթի  տուն</t>
  </si>
  <si>
    <t>-</t>
  </si>
  <si>
    <t xml:space="preserve">ԸնդամենըՓԱՍՏԱՑԻ  ԾԱԽՍԵՐ  </t>
  </si>
  <si>
    <t>Ընդամենը կապիտալ պարտք</t>
  </si>
  <si>
    <t>Ընդամենը պարտք</t>
  </si>
  <si>
    <t>Ընդամենը ընթացիկ պարտք</t>
  </si>
  <si>
    <t xml:space="preserve">Ընդամենը </t>
  </si>
  <si>
    <t>Ընդամենը .կապ.ծախսեր</t>
  </si>
  <si>
    <t>Ընդամենը .ընթացիկ ծախսեր</t>
  </si>
  <si>
    <t>5132</t>
  </si>
  <si>
    <t>Մշակույթի  տուն</t>
  </si>
  <si>
    <t>մնաց. 01.01.19թ.</t>
  </si>
  <si>
    <t>¹»µÇïáñ³Ï³Ý å³ñïù 01.01.19Ã</t>
  </si>
  <si>
    <t>Պարտքերը 01.01.19թ.դր.</t>
  </si>
  <si>
    <t xml:space="preserve">Ք.  ²ðØ²ìÆð   Ð²Ø²ÚÜøÆ   2019թ    ´ÚàôæԵÆ   Ì²ÊêºðÆ   ԱՄՓՈՓ                                                                                 </t>
  </si>
  <si>
    <t>¹»µÇïá-  ñ³Ï³Ý å³ñïù 01.01.19Ã</t>
  </si>
  <si>
    <t>Ք.  ²ðØ²ìÆð    Ð²Ø²ÚÜøÆ  ºÜÂ²Î²ÚàôÂÚ²Ü Ðà²Î-ÜºðÆ  2019Â.   ºÎ²ØàôîÜºðÆ   ºì   Ì²ÊêºðÆ     ²Øöàö</t>
  </si>
  <si>
    <t>Հաշվարկային հաշիվ մն,01,01,2019</t>
  </si>
  <si>
    <t>դրամա- շնորհ</t>
  </si>
  <si>
    <t xml:space="preserve"> ¼³·ë  1-3-1     </t>
  </si>
  <si>
    <t xml:space="preserve"> ÙÇçáó³éáõÙ 8-2-4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</si>
  <si>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</si>
  <si>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¸.Խàô¸ԱԹՅԱՆ</t>
  </si>
  <si>
    <t xml:space="preserve">ՀՈԱԿ-Ի  31.12,2019թ. ԴՐՈՒԹՅԱՄԲ  ԴՐԱՄԱՐԿՂԱՅԻՆ   ԵԿԱՄՈՒՏՆԵՐԻ  ԵՎ   ԾԱԽՍԵՐԻ ԱՄՓՈՓ </t>
  </si>
  <si>
    <t>Ñ³ßíի ÙÝ³ó. 31.12.19թ. Դր</t>
  </si>
  <si>
    <t xml:space="preserve">ՀՈԱԿ-ՆԵՐԻ 32.12.2019թ. ԴՐՈՒԹՅԱՄԲ  ՓԱՍՏԱՑԻ  ԵԿԱՄՈՒՏՆԵՐԻ  ԵՎ  ԾԱԽՍԵՐԻ ԱՄՓՈՓ </t>
  </si>
  <si>
    <t>Պարտքեր  31.12.2019թ. Դրությամբ</t>
  </si>
  <si>
    <t>կրեդիïáñ³Ï³Ý å³ñïù 31.12,19Ã.</t>
  </si>
  <si>
    <t>Բյուջեի կատարման դրամարկղային ամփոփ 31.12.2019թ. դր.</t>
  </si>
  <si>
    <t>Բյուջեի կատարման փաստացի ծախսերի  ամփոփ 31.12.2019թ. դր.</t>
  </si>
  <si>
    <t>կրեդÇïáñ³-  Ï³Ý å³ñïù 31.12.19Ã.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</si>
  <si>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</si>
  <si>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ß»Ýù»ñÇ ¨ßÇÝ.-Ç ձեռք բերում</t>
  </si>
  <si>
    <t>ß»Ýù»ñÇ ¨ßÇÝ.-Ç Ï³ռուցáõÙ</t>
  </si>
  <si>
    <t>8131</t>
  </si>
  <si>
    <t>Տարեկան</t>
  </si>
  <si>
    <t>Î³ï³ñí³Í  տարեկան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</si>
</sst>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;[Red]0.0"/>
    <numFmt numFmtId="182" formatCode="0.00;[Red]0.00"/>
    <numFmt numFmtId="183" formatCode="0;[Red]0"/>
    <numFmt numFmtId="184" formatCode="0.000;[Red]0.000"/>
    <numFmt numFmtId="185" formatCode="[$-FC19]d\ mmmm\ yyyy\ &quot;г.&quot;"/>
    <numFmt numFmtId="186" formatCode="[$-F800]dddd\,\ mmmm\ dd\,\ yyyy"/>
    <numFmt numFmtId="187" formatCode="#,##0.0"/>
    <numFmt numFmtId="188" formatCode="#,##0.000"/>
    <numFmt numFmtId="189" formatCode="0.00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</numFmts>
  <fonts count="77">
    <font>
      <sz val="10"/>
      <name val="Arial"/>
      <family val="0"/>
    </font>
    <font>
      <sz val="8"/>
      <name val="Arial"/>
      <family val="2"/>
    </font>
    <font>
      <sz val="10"/>
      <name val="Times Armenian"/>
      <family val="1"/>
    </font>
    <font>
      <sz val="10"/>
      <name val="Arial Armenian"/>
      <family val="2"/>
    </font>
    <font>
      <sz val="10"/>
      <name val="Arial LatArm"/>
      <family val="2"/>
    </font>
    <font>
      <b/>
      <sz val="10"/>
      <name val="Arial LatArm"/>
      <family val="2"/>
    </font>
    <font>
      <i/>
      <sz val="10"/>
      <name val="Times Armenian"/>
      <family val="1"/>
    </font>
    <font>
      <sz val="12"/>
      <name val="Arial LatArm"/>
      <family val="2"/>
    </font>
    <font>
      <sz val="11"/>
      <name val="Times Armenian"/>
      <family val="1"/>
    </font>
    <font>
      <b/>
      <sz val="13"/>
      <name val="Times Armenian"/>
      <family val="1"/>
    </font>
    <font>
      <b/>
      <sz val="11"/>
      <name val="Times Armenian"/>
      <family val="1"/>
    </font>
    <font>
      <b/>
      <sz val="12"/>
      <name val="Arial"/>
      <family val="2"/>
    </font>
    <font>
      <sz val="8"/>
      <name val="Arial LatArm"/>
      <family val="2"/>
    </font>
    <font>
      <b/>
      <sz val="14"/>
      <name val="Times Armenian"/>
      <family val="1"/>
    </font>
    <font>
      <b/>
      <sz val="10"/>
      <name val="Times Armenian"/>
      <family val="1"/>
    </font>
    <font>
      <b/>
      <i/>
      <sz val="14"/>
      <name val="Times Armenian"/>
      <family val="1"/>
    </font>
    <font>
      <b/>
      <i/>
      <sz val="11"/>
      <name val="Times Armenian"/>
      <family val="1"/>
    </font>
    <font>
      <b/>
      <sz val="11"/>
      <color indexed="9"/>
      <name val="Times Armenian"/>
      <family val="1"/>
    </font>
    <font>
      <b/>
      <sz val="10"/>
      <color indexed="9"/>
      <name val="Times Armenian"/>
      <family val="1"/>
    </font>
    <font>
      <b/>
      <sz val="12"/>
      <name val="Times Armenian"/>
      <family val="1"/>
    </font>
    <font>
      <b/>
      <i/>
      <sz val="12"/>
      <name val="Times Armenian"/>
      <family val="1"/>
    </font>
    <font>
      <sz val="12"/>
      <name val="Times Armenian"/>
      <family val="1"/>
    </font>
    <font>
      <b/>
      <i/>
      <sz val="13"/>
      <name val="Times Armenian"/>
      <family val="1"/>
    </font>
    <font>
      <sz val="13"/>
      <name val="Times Armenian"/>
      <family val="1"/>
    </font>
    <font>
      <sz val="8"/>
      <name val="Times Armenian"/>
      <family val="1"/>
    </font>
    <font>
      <b/>
      <sz val="10"/>
      <name val="Arial Armenian"/>
      <family val="2"/>
    </font>
    <font>
      <sz val="11"/>
      <name val="Arial Armenian"/>
      <family val="2"/>
    </font>
    <font>
      <sz val="9"/>
      <name val="Arial Armenian"/>
      <family val="2"/>
    </font>
    <font>
      <b/>
      <sz val="12"/>
      <name val="Arial Armenian"/>
      <family val="2"/>
    </font>
    <font>
      <b/>
      <sz val="11"/>
      <name val="Arial Armenian"/>
      <family val="2"/>
    </font>
    <font>
      <b/>
      <sz val="10"/>
      <name val="Arial"/>
      <family val="2"/>
    </font>
    <font>
      <sz val="12"/>
      <name val="Arial Armenian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 LatArm"/>
      <family val="2"/>
    </font>
    <font>
      <b/>
      <sz val="10"/>
      <color indexed="10"/>
      <name val="Arial Armenian"/>
      <family val="2"/>
    </font>
    <font>
      <sz val="10"/>
      <color indexed="9"/>
      <name val="Times Armeni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 LatArm"/>
      <family val="2"/>
    </font>
    <font>
      <b/>
      <sz val="10"/>
      <color rgb="FFFF0000"/>
      <name val="Arial Armenian"/>
      <family val="2"/>
    </font>
    <font>
      <sz val="10"/>
      <color theme="0"/>
      <name val="Times Armenian"/>
      <family val="1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0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7" fillId="25" borderId="1" applyNumberFormat="0" applyAlignment="0" applyProtection="0"/>
    <xf numFmtId="0" fontId="58" fillId="26" borderId="2" applyNumberFormat="0" applyAlignment="0" applyProtection="0"/>
    <xf numFmtId="0" fontId="59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7" borderId="7" applyNumberFormat="0" applyAlignment="0" applyProtection="0"/>
    <xf numFmtId="0" fontId="65" fillId="0" borderId="0" applyNumberFormat="0" applyFill="0" applyBorder="0" applyAlignment="0" applyProtection="0"/>
    <xf numFmtId="0" fontId="66" fillId="28" borderId="0" applyNumberFormat="0" applyBorder="0" applyAlignment="0" applyProtection="0"/>
    <xf numFmtId="0" fontId="67" fillId="29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1" fillId="31" borderId="0" applyNumberFormat="0" applyBorder="0" applyAlignment="0" applyProtection="0"/>
  </cellStyleXfs>
  <cellXfs count="752">
    <xf numFmtId="0" fontId="0" fillId="0" borderId="0" xfId="0" applyAlignment="1">
      <alignment/>
    </xf>
    <xf numFmtId="0" fontId="2" fillId="0" borderId="0" xfId="0" applyFont="1" applyAlignment="1">
      <alignment/>
    </xf>
    <xf numFmtId="180" fontId="7" fillId="0" borderId="0" xfId="33" applyNumberFormat="1" applyFont="1" applyFill="1" applyAlignment="1">
      <alignment/>
      <protection/>
    </xf>
    <xf numFmtId="180" fontId="7" fillId="0" borderId="0" xfId="33" applyNumberFormat="1" applyFont="1" applyFill="1">
      <alignment/>
      <protection/>
    </xf>
    <xf numFmtId="2" fontId="7" fillId="0" borderId="0" xfId="33" applyNumberFormat="1" applyFont="1" applyFill="1">
      <alignment/>
      <protection/>
    </xf>
    <xf numFmtId="180" fontId="7" fillId="0" borderId="0" xfId="0" applyNumberFormat="1" applyFont="1" applyFill="1" applyAlignment="1">
      <alignment/>
    </xf>
    <xf numFmtId="180" fontId="4" fillId="0" borderId="0" xfId="0" applyNumberFormat="1" applyFont="1" applyFill="1" applyAlignment="1">
      <alignment horizontal="center" vertical="center"/>
    </xf>
    <xf numFmtId="180" fontId="4" fillId="0" borderId="0" xfId="0" applyNumberFormat="1" applyFont="1" applyFill="1" applyAlignment="1">
      <alignment/>
    </xf>
    <xf numFmtId="49" fontId="2" fillId="0" borderId="10" xfId="34" applyNumberFormat="1" applyFont="1" applyBorder="1" applyAlignment="1">
      <alignment horizontal="center"/>
      <protection/>
    </xf>
    <xf numFmtId="49" fontId="2" fillId="0" borderId="11" xfId="34" applyNumberFormat="1" applyFont="1" applyBorder="1" applyAlignment="1">
      <alignment/>
      <protection/>
    </xf>
    <xf numFmtId="180" fontId="2" fillId="0" borderId="0" xfId="0" applyNumberFormat="1" applyFont="1" applyAlignment="1">
      <alignment/>
    </xf>
    <xf numFmtId="180" fontId="0" fillId="0" borderId="0" xfId="0" applyNumberFormat="1" applyFont="1" applyAlignment="1">
      <alignment/>
    </xf>
    <xf numFmtId="180" fontId="5" fillId="0" borderId="0" xfId="0" applyNumberFormat="1" applyFont="1" applyFill="1" applyAlignment="1">
      <alignment/>
    </xf>
    <xf numFmtId="1" fontId="4" fillId="0" borderId="12" xfId="33" applyNumberFormat="1" applyFont="1" applyFill="1" applyBorder="1" applyAlignment="1">
      <alignment horizontal="center" vertical="center"/>
      <protection/>
    </xf>
    <xf numFmtId="1" fontId="4" fillId="0" borderId="13" xfId="33" applyNumberFormat="1" applyFont="1" applyFill="1" applyBorder="1" applyAlignment="1">
      <alignment horizontal="center" vertical="center"/>
      <protection/>
    </xf>
    <xf numFmtId="49" fontId="4" fillId="0" borderId="13" xfId="33" applyNumberFormat="1" applyFont="1" applyFill="1" applyBorder="1" applyAlignment="1">
      <alignment horizontal="center" vertical="center"/>
      <protection/>
    </xf>
    <xf numFmtId="180" fontId="4" fillId="0" borderId="13" xfId="33" applyNumberFormat="1" applyFont="1" applyFill="1" applyBorder="1" applyAlignment="1">
      <alignment horizontal="center" vertical="center"/>
      <protection/>
    </xf>
    <xf numFmtId="49" fontId="8" fillId="32" borderId="13" xfId="33" applyNumberFormat="1" applyFont="1" applyFill="1" applyBorder="1" applyAlignment="1">
      <alignment vertical="center"/>
      <protection/>
    </xf>
    <xf numFmtId="2" fontId="0" fillId="0" borderId="0" xfId="0" applyNumberFormat="1" applyFont="1" applyAlignment="1">
      <alignment/>
    </xf>
    <xf numFmtId="49" fontId="4" fillId="0" borderId="14" xfId="33" applyNumberFormat="1" applyFont="1" applyFill="1" applyBorder="1" applyAlignment="1">
      <alignment horizontal="center" vertical="center"/>
      <protection/>
    </xf>
    <xf numFmtId="1" fontId="4" fillId="0" borderId="14" xfId="33" applyNumberFormat="1" applyFont="1" applyFill="1" applyBorder="1" applyAlignment="1">
      <alignment horizontal="center" vertical="center"/>
      <protection/>
    </xf>
    <xf numFmtId="49" fontId="4" fillId="0" borderId="12" xfId="33" applyNumberFormat="1" applyFont="1" applyFill="1" applyBorder="1" applyAlignment="1">
      <alignment horizontal="center" vertical="center"/>
      <protection/>
    </xf>
    <xf numFmtId="1" fontId="4" fillId="0" borderId="15" xfId="33" applyNumberFormat="1" applyFont="1" applyFill="1" applyBorder="1" applyAlignment="1">
      <alignment horizontal="center" vertical="center" wrapText="1"/>
      <protection/>
    </xf>
    <xf numFmtId="180" fontId="4" fillId="0" borderId="15" xfId="33" applyNumberFormat="1" applyFont="1" applyFill="1" applyBorder="1" applyAlignment="1">
      <alignment horizontal="center" vertical="center" wrapText="1"/>
      <protection/>
    </xf>
    <xf numFmtId="180" fontId="4" fillId="0" borderId="16" xfId="33" applyNumberFormat="1" applyFont="1" applyFill="1" applyBorder="1" applyAlignment="1">
      <alignment horizontal="center" vertical="center" wrapText="1"/>
      <protection/>
    </xf>
    <xf numFmtId="180" fontId="4" fillId="0" borderId="16" xfId="33" applyNumberFormat="1" applyFont="1" applyFill="1" applyBorder="1" applyAlignment="1">
      <alignment horizontal="center" vertical="center"/>
      <protection/>
    </xf>
    <xf numFmtId="180" fontId="4" fillId="0" borderId="17" xfId="33" applyNumberFormat="1" applyFont="1" applyFill="1" applyBorder="1" applyAlignment="1">
      <alignment horizontal="center" vertical="center" wrapText="1"/>
      <protection/>
    </xf>
    <xf numFmtId="180" fontId="4" fillId="0" borderId="17" xfId="33" applyNumberFormat="1" applyFont="1" applyFill="1" applyBorder="1" applyAlignment="1">
      <alignment horizontal="center" vertical="center"/>
      <protection/>
    </xf>
    <xf numFmtId="180" fontId="12" fillId="32" borderId="18" xfId="33" applyNumberFormat="1" applyFont="1" applyFill="1" applyBorder="1" applyAlignment="1">
      <alignment horizontal="center" vertical="center" wrapText="1"/>
      <protection/>
    </xf>
    <xf numFmtId="0" fontId="2" fillId="0" borderId="0" xfId="0" applyFont="1" applyAlignment="1">
      <alignment horizontal="center"/>
    </xf>
    <xf numFmtId="180" fontId="2" fillId="0" borderId="18" xfId="34" applyNumberFormat="1" applyFont="1" applyBorder="1" applyAlignment="1">
      <alignment horizontal="center" vertical="center" wrapText="1"/>
      <protection/>
    </xf>
    <xf numFmtId="180" fontId="2" fillId="0" borderId="19" xfId="34" applyNumberFormat="1" applyFont="1" applyBorder="1" applyAlignment="1">
      <alignment horizontal="center" vertical="center" wrapText="1"/>
      <protection/>
    </xf>
    <xf numFmtId="0" fontId="2" fillId="0" borderId="20" xfId="34" applyFont="1" applyBorder="1" applyAlignment="1">
      <alignment horizontal="center" vertical="center" wrapText="1"/>
      <protection/>
    </xf>
    <xf numFmtId="0" fontId="2" fillId="0" borderId="21" xfId="34" applyFont="1" applyBorder="1" applyAlignment="1">
      <alignment horizontal="center" vertical="center" wrapText="1"/>
      <protection/>
    </xf>
    <xf numFmtId="0" fontId="2" fillId="0" borderId="15" xfId="34" applyFont="1" applyBorder="1" applyAlignment="1">
      <alignment horizontal="center" vertical="center" wrapText="1"/>
      <protection/>
    </xf>
    <xf numFmtId="0" fontId="2" fillId="0" borderId="19" xfId="0" applyFont="1" applyBorder="1" applyAlignment="1">
      <alignment horizontal="center" vertical="center" wrapText="1"/>
    </xf>
    <xf numFmtId="180" fontId="2" fillId="0" borderId="15" xfId="34" applyNumberFormat="1" applyFont="1" applyBorder="1" applyAlignment="1">
      <alignment horizontal="center" vertical="center" wrapText="1"/>
      <protection/>
    </xf>
    <xf numFmtId="180" fontId="2" fillId="0" borderId="21" xfId="34" applyNumberFormat="1" applyFont="1" applyBorder="1" applyAlignment="1">
      <alignment horizontal="center" vertical="center" wrapText="1"/>
      <protection/>
    </xf>
    <xf numFmtId="180" fontId="2" fillId="0" borderId="22" xfId="34" applyNumberFormat="1" applyFont="1" applyBorder="1" applyAlignment="1">
      <alignment horizontal="center" vertical="center" wrapText="1"/>
      <protection/>
    </xf>
    <xf numFmtId="49" fontId="2" fillId="0" borderId="21" xfId="34" applyNumberFormat="1" applyFont="1" applyBorder="1" applyAlignment="1">
      <alignment horizontal="center"/>
      <protection/>
    </xf>
    <xf numFmtId="49" fontId="2" fillId="0" borderId="15" xfId="34" applyNumberFormat="1" applyFont="1" applyBorder="1" applyAlignment="1">
      <alignment horizontal="center"/>
      <protection/>
    </xf>
    <xf numFmtId="49" fontId="14" fillId="0" borderId="18" xfId="34" applyNumberFormat="1" applyFont="1" applyBorder="1" applyAlignment="1">
      <alignment horizontal="center"/>
      <protection/>
    </xf>
    <xf numFmtId="180" fontId="16" fillId="0" borderId="15" xfId="34" applyNumberFormat="1" applyFont="1" applyBorder="1">
      <alignment/>
      <protection/>
    </xf>
    <xf numFmtId="180" fontId="16" fillId="0" borderId="21" xfId="34" applyNumberFormat="1" applyFont="1" applyBorder="1">
      <alignment/>
      <protection/>
    </xf>
    <xf numFmtId="49" fontId="2" fillId="0" borderId="18" xfId="34" applyNumberFormat="1" applyFont="1" applyBorder="1" applyAlignment="1">
      <alignment horizontal="center"/>
      <protection/>
    </xf>
    <xf numFmtId="180" fontId="14" fillId="0" borderId="15" xfId="34" applyNumberFormat="1" applyFont="1" applyBorder="1">
      <alignment/>
      <protection/>
    </xf>
    <xf numFmtId="49" fontId="2" fillId="0" borderId="23" xfId="34" applyNumberFormat="1" applyFont="1" applyBorder="1" applyAlignment="1">
      <alignment horizontal="center"/>
      <protection/>
    </xf>
    <xf numFmtId="49" fontId="2" fillId="0" borderId="24" xfId="34" applyNumberFormat="1" applyFont="1" applyBorder="1" applyAlignment="1">
      <alignment horizontal="center"/>
      <protection/>
    </xf>
    <xf numFmtId="180" fontId="2" fillId="0" borderId="23" xfId="34" applyNumberFormat="1" applyFont="1" applyBorder="1">
      <alignment/>
      <protection/>
    </xf>
    <xf numFmtId="180" fontId="2" fillId="0" borderId="25" xfId="34" applyNumberFormat="1" applyFont="1" applyBorder="1">
      <alignment/>
      <protection/>
    </xf>
    <xf numFmtId="49" fontId="2" fillId="0" borderId="11" xfId="34" applyNumberFormat="1" applyFont="1" applyBorder="1" applyAlignment="1">
      <alignment horizontal="center"/>
      <protection/>
    </xf>
    <xf numFmtId="49" fontId="2" fillId="0" borderId="26" xfId="34" applyNumberFormat="1" applyFont="1" applyBorder="1" applyAlignment="1">
      <alignment horizontal="center"/>
      <protection/>
    </xf>
    <xf numFmtId="49" fontId="2" fillId="0" borderId="27" xfId="34" applyNumberFormat="1" applyFont="1" applyBorder="1" applyAlignment="1">
      <alignment horizontal="center"/>
      <protection/>
    </xf>
    <xf numFmtId="180" fontId="2" fillId="0" borderId="26" xfId="34" applyNumberFormat="1" applyFont="1" applyBorder="1">
      <alignment/>
      <protection/>
    </xf>
    <xf numFmtId="180" fontId="2" fillId="0" borderId="28" xfId="34" applyNumberFormat="1" applyFont="1" applyBorder="1">
      <alignment/>
      <protection/>
    </xf>
    <xf numFmtId="180" fontId="14" fillId="0" borderId="21" xfId="34" applyNumberFormat="1" applyFont="1" applyBorder="1">
      <alignment/>
      <protection/>
    </xf>
    <xf numFmtId="180" fontId="2" fillId="0" borderId="29" xfId="34" applyNumberFormat="1" applyFont="1" applyBorder="1">
      <alignment/>
      <protection/>
    </xf>
    <xf numFmtId="180" fontId="2" fillId="0" borderId="30" xfId="34" applyNumberFormat="1" applyFont="1" applyBorder="1">
      <alignment/>
      <protection/>
    </xf>
    <xf numFmtId="180" fontId="14" fillId="0" borderId="29" xfId="34" applyNumberFormat="1" applyFont="1" applyBorder="1">
      <alignment/>
      <protection/>
    </xf>
    <xf numFmtId="180" fontId="14" fillId="0" borderId="28" xfId="34" applyNumberFormat="1" applyFont="1" applyBorder="1">
      <alignment/>
      <protection/>
    </xf>
    <xf numFmtId="180" fontId="2" fillId="0" borderId="31" xfId="34" applyNumberFormat="1" applyFont="1" applyBorder="1">
      <alignment/>
      <protection/>
    </xf>
    <xf numFmtId="180" fontId="2" fillId="0" borderId="32" xfId="34" applyNumberFormat="1" applyFont="1" applyBorder="1">
      <alignment/>
      <protection/>
    </xf>
    <xf numFmtId="49" fontId="14" fillId="0" borderId="19" xfId="34" applyNumberFormat="1" applyFont="1" applyBorder="1" applyAlignment="1">
      <alignment horizontal="center"/>
      <protection/>
    </xf>
    <xf numFmtId="49" fontId="14" fillId="0" borderId="15" xfId="34" applyNumberFormat="1" applyFont="1" applyBorder="1" applyAlignment="1">
      <alignment horizontal="center"/>
      <protection/>
    </xf>
    <xf numFmtId="49" fontId="14" fillId="0" borderId="12" xfId="34" applyNumberFormat="1" applyFont="1" applyBorder="1" applyAlignment="1">
      <alignment horizontal="center"/>
      <protection/>
    </xf>
    <xf numFmtId="180" fontId="14" fillId="0" borderId="13" xfId="34" applyNumberFormat="1" applyFont="1" applyBorder="1">
      <alignment/>
      <protection/>
    </xf>
    <xf numFmtId="180" fontId="14" fillId="0" borderId="14" xfId="34" applyNumberFormat="1" applyFont="1" applyBorder="1">
      <alignment/>
      <protection/>
    </xf>
    <xf numFmtId="0" fontId="18" fillId="0" borderId="0" xfId="0" applyFont="1" applyAlignment="1">
      <alignment/>
    </xf>
    <xf numFmtId="0" fontId="2" fillId="0" borderId="0" xfId="0" applyFont="1" applyFill="1" applyAlignment="1">
      <alignment/>
    </xf>
    <xf numFmtId="49" fontId="2" fillId="0" borderId="30" xfId="34" applyNumberFormat="1" applyFont="1" applyBorder="1" applyAlignment="1">
      <alignment horizontal="center"/>
      <protection/>
    </xf>
    <xf numFmtId="0" fontId="2" fillId="0" borderId="33" xfId="34" applyFont="1" applyFill="1" applyBorder="1" applyAlignment="1">
      <alignment horizontal="center" vertical="center" wrapText="1"/>
      <protection/>
    </xf>
    <xf numFmtId="0" fontId="2" fillId="0" borderId="34" xfId="34" applyFont="1" applyFill="1" applyBorder="1" applyAlignment="1">
      <alignment horizontal="center" vertical="center" wrapText="1"/>
      <protection/>
    </xf>
    <xf numFmtId="180" fontId="2" fillId="0" borderId="15" xfId="34" applyNumberFormat="1" applyFont="1" applyFill="1" applyBorder="1" applyAlignment="1">
      <alignment horizontal="center" vertical="center" wrapText="1"/>
      <protection/>
    </xf>
    <xf numFmtId="180" fontId="16" fillId="0" borderId="23" xfId="34" applyNumberFormat="1" applyFont="1" applyFill="1" applyBorder="1">
      <alignment/>
      <protection/>
    </xf>
    <xf numFmtId="49" fontId="2" fillId="0" borderId="23" xfId="34" applyNumberFormat="1" applyFont="1" applyFill="1" applyBorder="1" applyAlignment="1">
      <alignment horizontal="center"/>
      <protection/>
    </xf>
    <xf numFmtId="49" fontId="2" fillId="0" borderId="26" xfId="34" applyNumberFormat="1" applyFont="1" applyFill="1" applyBorder="1" applyAlignment="1">
      <alignment horizontal="center"/>
      <protection/>
    </xf>
    <xf numFmtId="180" fontId="2" fillId="0" borderId="26" xfId="34" applyNumberFormat="1" applyFont="1" applyFill="1" applyBorder="1">
      <alignment/>
      <protection/>
    </xf>
    <xf numFmtId="180" fontId="2" fillId="0" borderId="28" xfId="34" applyNumberFormat="1" applyFont="1" applyFill="1" applyBorder="1">
      <alignment/>
      <protection/>
    </xf>
    <xf numFmtId="0" fontId="2" fillId="0" borderId="11" xfId="34" applyFont="1" applyFill="1" applyBorder="1" applyAlignment="1">
      <alignment horizontal="left"/>
      <protection/>
    </xf>
    <xf numFmtId="0" fontId="2" fillId="0" borderId="28" xfId="34" applyFont="1" applyFill="1" applyBorder="1" applyAlignment="1">
      <alignment horizontal="left"/>
      <protection/>
    </xf>
    <xf numFmtId="0" fontId="2" fillId="0" borderId="27" xfId="34" applyFont="1" applyFill="1" applyBorder="1" applyAlignment="1">
      <alignment horizontal="center"/>
      <protection/>
    </xf>
    <xf numFmtId="49" fontId="2" fillId="0" borderId="20" xfId="34" applyNumberFormat="1" applyFont="1" applyFill="1" applyBorder="1" applyAlignment="1">
      <alignment horizontal="center"/>
      <protection/>
    </xf>
    <xf numFmtId="180" fontId="2" fillId="0" borderId="23" xfId="34" applyNumberFormat="1" applyFont="1" applyFill="1" applyBorder="1">
      <alignment/>
      <protection/>
    </xf>
    <xf numFmtId="180" fontId="2" fillId="0" borderId="25" xfId="34" applyNumberFormat="1" applyFont="1" applyFill="1" applyBorder="1">
      <alignment/>
      <protection/>
    </xf>
    <xf numFmtId="49" fontId="2" fillId="0" borderId="27" xfId="34" applyNumberFormat="1" applyFont="1" applyFill="1" applyBorder="1" applyAlignment="1">
      <alignment horizontal="center"/>
      <protection/>
    </xf>
    <xf numFmtId="49" fontId="2" fillId="0" borderId="11" xfId="34" applyNumberFormat="1" applyFont="1" applyFill="1" applyBorder="1" applyAlignment="1">
      <alignment horizontal="center"/>
      <protection/>
    </xf>
    <xf numFmtId="49" fontId="2" fillId="0" borderId="35" xfId="34" applyNumberFormat="1" applyFont="1" applyFill="1" applyBorder="1" applyAlignment="1">
      <alignment horizontal="center"/>
      <protection/>
    </xf>
    <xf numFmtId="180" fontId="2" fillId="0" borderId="32" xfId="0" applyNumberFormat="1" applyFont="1" applyFill="1" applyBorder="1" applyAlignment="1">
      <alignment/>
    </xf>
    <xf numFmtId="1" fontId="4" fillId="0" borderId="13" xfId="0" applyNumberFormat="1" applyFont="1" applyFill="1" applyBorder="1" applyAlignment="1">
      <alignment horizontal="center" vertical="center"/>
    </xf>
    <xf numFmtId="180" fontId="4" fillId="0" borderId="36" xfId="33" applyNumberFormat="1" applyFont="1" applyFill="1" applyBorder="1" applyAlignment="1">
      <alignment horizontal="center" vertical="center" wrapText="1"/>
      <protection/>
    </xf>
    <xf numFmtId="180" fontId="4" fillId="0" borderId="37" xfId="33" applyNumberFormat="1" applyFont="1" applyFill="1" applyBorder="1" applyAlignment="1">
      <alignment horizontal="center" vertical="center" wrapText="1"/>
      <protection/>
    </xf>
    <xf numFmtId="180" fontId="4" fillId="0" borderId="38" xfId="33" applyNumberFormat="1" applyFont="1" applyFill="1" applyBorder="1" applyAlignment="1">
      <alignment horizontal="center" vertical="center" wrapText="1"/>
      <protection/>
    </xf>
    <xf numFmtId="180" fontId="4" fillId="0" borderId="36" xfId="33" applyNumberFormat="1" applyFont="1" applyFill="1" applyBorder="1" applyAlignment="1">
      <alignment horizontal="center" vertical="center"/>
      <protection/>
    </xf>
    <xf numFmtId="180" fontId="4" fillId="0" borderId="31" xfId="33" applyNumberFormat="1" applyFont="1" applyFill="1" applyBorder="1" applyAlignment="1">
      <alignment horizontal="center" vertical="center" wrapText="1"/>
      <protection/>
    </xf>
    <xf numFmtId="49" fontId="2" fillId="0" borderId="32" xfId="34" applyNumberFormat="1" applyFont="1" applyFill="1" applyBorder="1" applyAlignment="1">
      <alignment horizontal="center"/>
      <protection/>
    </xf>
    <xf numFmtId="49" fontId="2" fillId="0" borderId="39" xfId="34" applyNumberFormat="1" applyFont="1" applyFill="1" applyBorder="1" applyAlignment="1">
      <alignment horizontal="center"/>
      <protection/>
    </xf>
    <xf numFmtId="180" fontId="2" fillId="0" borderId="39" xfId="34" applyNumberFormat="1" applyFont="1" applyFill="1" applyBorder="1">
      <alignment/>
      <protection/>
    </xf>
    <xf numFmtId="180" fontId="2" fillId="0" borderId="40" xfId="34" applyNumberFormat="1" applyFont="1" applyFill="1" applyBorder="1">
      <alignment/>
      <protection/>
    </xf>
    <xf numFmtId="49" fontId="2" fillId="0" borderId="10" xfId="34" applyNumberFormat="1" applyFont="1" applyFill="1" applyBorder="1" applyAlignment="1">
      <alignment horizontal="center"/>
      <protection/>
    </xf>
    <xf numFmtId="49" fontId="2" fillId="0" borderId="41" xfId="34" applyNumberFormat="1" applyFont="1" applyFill="1" applyBorder="1" applyAlignment="1">
      <alignment horizontal="center"/>
      <protection/>
    </xf>
    <xf numFmtId="180" fontId="16" fillId="0" borderId="10" xfId="34" applyNumberFormat="1" applyFont="1" applyFill="1" applyBorder="1">
      <alignment/>
      <protection/>
    </xf>
    <xf numFmtId="180" fontId="2" fillId="0" borderId="20" xfId="0" applyNumberFormat="1" applyFont="1" applyFill="1" applyBorder="1" applyAlignment="1">
      <alignment/>
    </xf>
    <xf numFmtId="180" fontId="2" fillId="0" borderId="42" xfId="0" applyNumberFormat="1" applyFont="1" applyFill="1" applyBorder="1" applyAlignment="1">
      <alignment/>
    </xf>
    <xf numFmtId="180" fontId="2" fillId="0" borderId="19" xfId="34" applyNumberFormat="1" applyFont="1" applyFill="1" applyBorder="1" applyAlignment="1">
      <alignment horizontal="center" vertical="center" wrapText="1"/>
      <protection/>
    </xf>
    <xf numFmtId="180" fontId="16" fillId="0" borderId="25" xfId="34" applyNumberFormat="1" applyFont="1" applyFill="1" applyBorder="1">
      <alignment/>
      <protection/>
    </xf>
    <xf numFmtId="180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49" fontId="2" fillId="0" borderId="43" xfId="34" applyNumberFormat="1" applyFont="1" applyFill="1" applyBorder="1" applyAlignment="1">
      <alignment horizontal="center"/>
      <protection/>
    </xf>
    <xf numFmtId="180" fontId="2" fillId="0" borderId="43" xfId="34" applyNumberFormat="1" applyFont="1" applyFill="1" applyBorder="1">
      <alignment/>
      <protection/>
    </xf>
    <xf numFmtId="180" fontId="2" fillId="0" borderId="44" xfId="34" applyNumberFormat="1" applyFont="1" applyFill="1" applyBorder="1">
      <alignment/>
      <protection/>
    </xf>
    <xf numFmtId="1" fontId="4" fillId="0" borderId="19" xfId="33" applyNumberFormat="1" applyFont="1" applyFill="1" applyBorder="1" applyAlignment="1">
      <alignment horizontal="center" vertical="center" wrapText="1"/>
      <protection/>
    </xf>
    <xf numFmtId="0" fontId="21" fillId="0" borderId="0" xfId="0" applyFont="1" applyFill="1" applyAlignment="1">
      <alignment/>
    </xf>
    <xf numFmtId="49" fontId="23" fillId="0" borderId="30" xfId="34" applyNumberFormat="1" applyFont="1" applyFill="1" applyBorder="1" applyAlignment="1">
      <alignment horizontal="center"/>
      <protection/>
    </xf>
    <xf numFmtId="49" fontId="9" fillId="0" borderId="30" xfId="34" applyNumberFormat="1" applyFont="1" applyFill="1" applyBorder="1" applyAlignment="1">
      <alignment horizontal="center"/>
      <protection/>
    </xf>
    <xf numFmtId="180" fontId="22" fillId="0" borderId="30" xfId="34" applyNumberFormat="1" applyFont="1" applyFill="1" applyBorder="1">
      <alignment/>
      <protection/>
    </xf>
    <xf numFmtId="180" fontId="22" fillId="0" borderId="45" xfId="34" applyNumberFormat="1" applyFont="1" applyFill="1" applyBorder="1">
      <alignment/>
      <protection/>
    </xf>
    <xf numFmtId="0" fontId="23" fillId="0" borderId="0" xfId="0" applyFont="1" applyFill="1" applyAlignment="1">
      <alignment/>
    </xf>
    <xf numFmtId="49" fontId="21" fillId="0" borderId="26" xfId="34" applyNumberFormat="1" applyFont="1" applyFill="1" applyBorder="1" applyAlignment="1">
      <alignment horizontal="center"/>
      <protection/>
    </xf>
    <xf numFmtId="180" fontId="19" fillId="0" borderId="26" xfId="34" applyNumberFormat="1" applyFont="1" applyFill="1" applyBorder="1">
      <alignment/>
      <protection/>
    </xf>
    <xf numFmtId="180" fontId="19" fillId="0" borderId="11" xfId="34" applyNumberFormat="1" applyFont="1" applyFill="1" applyBorder="1">
      <alignment/>
      <protection/>
    </xf>
    <xf numFmtId="180" fontId="19" fillId="0" borderId="28" xfId="34" applyNumberFormat="1" applyFont="1" applyFill="1" applyBorder="1">
      <alignment/>
      <protection/>
    </xf>
    <xf numFmtId="49" fontId="21" fillId="0" borderId="15" xfId="34" applyNumberFormat="1" applyFont="1" applyFill="1" applyBorder="1" applyAlignment="1">
      <alignment horizontal="center"/>
      <protection/>
    </xf>
    <xf numFmtId="180" fontId="19" fillId="0" borderId="15" xfId="34" applyNumberFormat="1" applyFont="1" applyFill="1" applyBorder="1">
      <alignment/>
      <protection/>
    </xf>
    <xf numFmtId="180" fontId="19" fillId="0" borderId="21" xfId="34" applyNumberFormat="1" applyFont="1" applyFill="1" applyBorder="1">
      <alignment/>
      <protection/>
    </xf>
    <xf numFmtId="180" fontId="19" fillId="0" borderId="19" xfId="34" applyNumberFormat="1" applyFont="1" applyFill="1" applyBorder="1">
      <alignment/>
      <protection/>
    </xf>
    <xf numFmtId="49" fontId="21" fillId="0" borderId="21" xfId="34" applyNumberFormat="1" applyFont="1" applyFill="1" applyBorder="1" applyAlignment="1">
      <alignment horizontal="center"/>
      <protection/>
    </xf>
    <xf numFmtId="49" fontId="21" fillId="0" borderId="46" xfId="34" applyNumberFormat="1" applyFont="1" applyFill="1" applyBorder="1" applyAlignment="1">
      <alignment horizontal="center"/>
      <protection/>
    </xf>
    <xf numFmtId="180" fontId="21" fillId="0" borderId="15" xfId="34" applyNumberFormat="1" applyFont="1" applyFill="1" applyBorder="1">
      <alignment/>
      <protection/>
    </xf>
    <xf numFmtId="180" fontId="21" fillId="0" borderId="19" xfId="34" applyNumberFormat="1" applyFont="1" applyFill="1" applyBorder="1">
      <alignment/>
      <protection/>
    </xf>
    <xf numFmtId="180" fontId="2" fillId="0" borderId="11" xfId="34" applyNumberFormat="1" applyFont="1" applyFill="1" applyBorder="1">
      <alignment/>
      <protection/>
    </xf>
    <xf numFmtId="180" fontId="2" fillId="0" borderId="47" xfId="34" applyNumberFormat="1" applyFont="1" applyFill="1" applyBorder="1">
      <alignment/>
      <protection/>
    </xf>
    <xf numFmtId="180" fontId="2" fillId="0" borderId="10" xfId="34" applyNumberFormat="1" applyFont="1" applyFill="1" applyBorder="1">
      <alignment/>
      <protection/>
    </xf>
    <xf numFmtId="49" fontId="2" fillId="0" borderId="45" xfId="34" applyNumberFormat="1" applyFont="1" applyBorder="1" applyAlignment="1">
      <alignment horizontal="center"/>
      <protection/>
    </xf>
    <xf numFmtId="49" fontId="2" fillId="0" borderId="48" xfId="34" applyNumberFormat="1" applyFont="1" applyBorder="1" applyAlignment="1">
      <alignment horizontal="center"/>
      <protection/>
    </xf>
    <xf numFmtId="49" fontId="2" fillId="0" borderId="32" xfId="34" applyNumberFormat="1" applyFont="1" applyBorder="1" applyAlignment="1">
      <alignment horizontal="center"/>
      <protection/>
    </xf>
    <xf numFmtId="49" fontId="2" fillId="0" borderId="49" xfId="34" applyNumberFormat="1" applyFont="1" applyBorder="1" applyAlignment="1">
      <alignment horizontal="center"/>
      <protection/>
    </xf>
    <xf numFmtId="180" fontId="2" fillId="0" borderId="36" xfId="34" applyNumberFormat="1" applyFont="1" applyBorder="1">
      <alignment/>
      <protection/>
    </xf>
    <xf numFmtId="180" fontId="4" fillId="0" borderId="23" xfId="0" applyNumberFormat="1" applyFont="1" applyFill="1" applyBorder="1" applyAlignment="1">
      <alignment horizontal="center" vertical="center"/>
    </xf>
    <xf numFmtId="180" fontId="2" fillId="0" borderId="32" xfId="34" applyNumberFormat="1" applyFont="1" applyBorder="1" applyAlignment="1">
      <alignment horizontal="center" vertical="center" wrapText="1"/>
      <protection/>
    </xf>
    <xf numFmtId="180" fontId="2" fillId="0" borderId="50" xfId="34" applyNumberFormat="1" applyFont="1" applyBorder="1" applyAlignment="1">
      <alignment horizontal="center" vertical="center" wrapText="1"/>
      <protection/>
    </xf>
    <xf numFmtId="180" fontId="2" fillId="0" borderId="10" xfId="34" applyNumberFormat="1" applyFont="1" applyBorder="1">
      <alignment/>
      <protection/>
    </xf>
    <xf numFmtId="0" fontId="10" fillId="0" borderId="26" xfId="34" applyFont="1" applyBorder="1">
      <alignment/>
      <protection/>
    </xf>
    <xf numFmtId="0" fontId="2" fillId="0" borderId="32" xfId="34" applyFont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center" vertical="center" wrapText="1"/>
    </xf>
    <xf numFmtId="180" fontId="14" fillId="0" borderId="20" xfId="34" applyNumberFormat="1" applyFont="1" applyBorder="1" applyAlignment="1">
      <alignment horizontal="center" vertical="center" wrapText="1"/>
      <protection/>
    </xf>
    <xf numFmtId="180" fontId="14" fillId="0" borderId="32" xfId="34" applyNumberFormat="1" applyFont="1" applyBorder="1" applyAlignment="1">
      <alignment horizontal="center" vertical="center" wrapText="1"/>
      <protection/>
    </xf>
    <xf numFmtId="180" fontId="14" fillId="0" borderId="50" xfId="34" applyNumberFormat="1" applyFont="1" applyBorder="1" applyAlignment="1">
      <alignment horizontal="center" vertical="center" wrapText="1"/>
      <protection/>
    </xf>
    <xf numFmtId="0" fontId="10" fillId="0" borderId="23" xfId="34" applyFont="1" applyBorder="1">
      <alignment/>
      <protection/>
    </xf>
    <xf numFmtId="0" fontId="10" fillId="0" borderId="30" xfId="34" applyFont="1" applyBorder="1">
      <alignment/>
      <protection/>
    </xf>
    <xf numFmtId="0" fontId="10" fillId="0" borderId="42" xfId="34" applyFont="1" applyBorder="1">
      <alignment/>
      <protection/>
    </xf>
    <xf numFmtId="0" fontId="10" fillId="0" borderId="15" xfId="34" applyFont="1" applyBorder="1">
      <alignment/>
      <protection/>
    </xf>
    <xf numFmtId="0" fontId="10" fillId="0" borderId="39" xfId="34" applyFont="1" applyBorder="1">
      <alignment/>
      <protection/>
    </xf>
    <xf numFmtId="0" fontId="24" fillId="0" borderId="23" xfId="34" applyFont="1" applyFill="1" applyBorder="1" applyAlignment="1">
      <alignment wrapText="1"/>
      <protection/>
    </xf>
    <xf numFmtId="0" fontId="17" fillId="0" borderId="15" xfId="34" applyFont="1" applyBorder="1">
      <alignment/>
      <protection/>
    </xf>
    <xf numFmtId="180" fontId="5" fillId="12" borderId="15" xfId="33" applyNumberFormat="1" applyFont="1" applyFill="1" applyBorder="1" applyAlignment="1">
      <alignment horizontal="center" vertical="center" wrapText="1"/>
      <protection/>
    </xf>
    <xf numFmtId="180" fontId="4" fillId="0" borderId="51" xfId="33" applyNumberFormat="1" applyFont="1" applyFill="1" applyBorder="1" applyAlignment="1">
      <alignment horizontal="center" vertical="center"/>
      <protection/>
    </xf>
    <xf numFmtId="180" fontId="4" fillId="0" borderId="49" xfId="33" applyNumberFormat="1" applyFont="1" applyFill="1" applyBorder="1" applyAlignment="1">
      <alignment horizontal="center" vertical="center"/>
      <protection/>
    </xf>
    <xf numFmtId="180" fontId="7" fillId="0" borderId="0" xfId="33" applyNumberFormat="1" applyFont="1" applyFill="1" applyBorder="1" applyAlignment="1">
      <alignment horizontal="left"/>
      <protection/>
    </xf>
    <xf numFmtId="49" fontId="4" fillId="0" borderId="15" xfId="33" applyNumberFormat="1" applyFont="1" applyFill="1" applyBorder="1" applyAlignment="1">
      <alignment horizontal="center" vertical="center"/>
      <protection/>
    </xf>
    <xf numFmtId="1" fontId="4" fillId="0" borderId="12" xfId="33" applyNumberFormat="1" applyFont="1" applyFill="1" applyBorder="1" applyAlignment="1">
      <alignment horizontal="center" vertical="center" wrapText="1"/>
      <protection/>
    </xf>
    <xf numFmtId="1" fontId="4" fillId="0" borderId="14" xfId="0" applyNumberFormat="1" applyFont="1" applyFill="1" applyBorder="1" applyAlignment="1">
      <alignment horizontal="center" vertical="center" wrapText="1"/>
    </xf>
    <xf numFmtId="180" fontId="4" fillId="0" borderId="32" xfId="0" applyNumberFormat="1" applyFont="1" applyFill="1" applyBorder="1" applyAlignment="1">
      <alignment horizontal="center" vertical="center"/>
    </xf>
    <xf numFmtId="1" fontId="4" fillId="12" borderId="15" xfId="33" applyNumberFormat="1" applyFont="1" applyFill="1" applyBorder="1" applyAlignment="1">
      <alignment horizontal="center" vertical="center" wrapText="1"/>
      <protection/>
    </xf>
    <xf numFmtId="2" fontId="4" fillId="12" borderId="15" xfId="33" applyNumberFormat="1" applyFont="1" applyFill="1" applyBorder="1" applyAlignment="1">
      <alignment horizontal="center" vertical="center" wrapText="1"/>
      <protection/>
    </xf>
    <xf numFmtId="1" fontId="4" fillId="0" borderId="12" xfId="0" applyNumberFormat="1" applyFont="1" applyFill="1" applyBorder="1" applyAlignment="1">
      <alignment horizontal="center" vertical="center"/>
    </xf>
    <xf numFmtId="0" fontId="9" fillId="0" borderId="48" xfId="34" applyFont="1" applyFill="1" applyBorder="1">
      <alignment/>
      <protection/>
    </xf>
    <xf numFmtId="0" fontId="10" fillId="0" borderId="27" xfId="34" applyFont="1" applyFill="1" applyBorder="1">
      <alignment/>
      <protection/>
    </xf>
    <xf numFmtId="0" fontId="10" fillId="0" borderId="52" xfId="34" applyFont="1" applyFill="1" applyBorder="1">
      <alignment/>
      <protection/>
    </xf>
    <xf numFmtId="0" fontId="19" fillId="0" borderId="18" xfId="34" applyFont="1" applyFill="1" applyBorder="1">
      <alignment/>
      <protection/>
    </xf>
    <xf numFmtId="0" fontId="8" fillId="0" borderId="48" xfId="34" applyFont="1" applyFill="1" applyBorder="1">
      <alignment/>
      <protection/>
    </xf>
    <xf numFmtId="0" fontId="24" fillId="0" borderId="27" xfId="34" applyFont="1" applyFill="1" applyBorder="1" applyAlignment="1">
      <alignment wrapText="1"/>
      <protection/>
    </xf>
    <xf numFmtId="0" fontId="10" fillId="0" borderId="18" xfId="34" applyFont="1" applyFill="1" applyBorder="1">
      <alignment/>
      <protection/>
    </xf>
    <xf numFmtId="180" fontId="22" fillId="0" borderId="23" xfId="34" applyNumberFormat="1" applyFont="1" applyFill="1" applyBorder="1">
      <alignment/>
      <protection/>
    </xf>
    <xf numFmtId="180" fontId="16" fillId="0" borderId="26" xfId="34" applyNumberFormat="1" applyFont="1" applyFill="1" applyBorder="1">
      <alignment/>
      <protection/>
    </xf>
    <xf numFmtId="180" fontId="14" fillId="0" borderId="26" xfId="34" applyNumberFormat="1" applyFont="1" applyFill="1" applyBorder="1">
      <alignment/>
      <protection/>
    </xf>
    <xf numFmtId="180" fontId="2" fillId="0" borderId="42" xfId="34" applyNumberFormat="1" applyFont="1" applyFill="1" applyBorder="1">
      <alignment/>
      <protection/>
    </xf>
    <xf numFmtId="0" fontId="2" fillId="0" borderId="32" xfId="0" applyFont="1" applyFill="1" applyBorder="1" applyAlignment="1">
      <alignment horizontal="center"/>
    </xf>
    <xf numFmtId="180" fontId="5" fillId="0" borderId="0" xfId="0" applyNumberFormat="1" applyFont="1" applyFill="1" applyAlignment="1">
      <alignment vertical="center"/>
    </xf>
    <xf numFmtId="180" fontId="11" fillId="0" borderId="0" xfId="0" applyNumberFormat="1" applyFont="1" applyAlignment="1">
      <alignment vertical="center"/>
    </xf>
    <xf numFmtId="180" fontId="4" fillId="33" borderId="23" xfId="33" applyNumberFormat="1" applyFont="1" applyFill="1" applyBorder="1" applyAlignment="1">
      <alignment horizontal="center" vertical="center" wrapText="1"/>
      <protection/>
    </xf>
    <xf numFmtId="180" fontId="4" fillId="33" borderId="32" xfId="33" applyNumberFormat="1" applyFont="1" applyFill="1" applyBorder="1" applyAlignment="1">
      <alignment horizontal="center" vertical="center" wrapText="1"/>
      <protection/>
    </xf>
    <xf numFmtId="180" fontId="5" fillId="34" borderId="21" xfId="33" applyNumberFormat="1" applyFont="1" applyFill="1" applyBorder="1" applyAlignment="1">
      <alignment horizontal="center" wrapText="1"/>
      <protection/>
    </xf>
    <xf numFmtId="180" fontId="4" fillId="0" borderId="16" xfId="33" applyNumberFormat="1" applyFont="1" applyFill="1" applyBorder="1" applyAlignment="1">
      <alignment horizontal="center"/>
      <protection/>
    </xf>
    <xf numFmtId="180" fontId="4" fillId="0" borderId="38" xfId="33" applyNumberFormat="1" applyFont="1" applyFill="1" applyBorder="1" applyAlignment="1">
      <alignment horizontal="center"/>
      <protection/>
    </xf>
    <xf numFmtId="180" fontId="4" fillId="0" borderId="36" xfId="33" applyNumberFormat="1" applyFont="1" applyFill="1" applyBorder="1" applyAlignment="1">
      <alignment horizontal="center"/>
      <protection/>
    </xf>
    <xf numFmtId="180" fontId="4" fillId="0" borderId="38" xfId="0" applyNumberFormat="1" applyFont="1" applyFill="1" applyBorder="1" applyAlignment="1">
      <alignment horizontal="center"/>
    </xf>
    <xf numFmtId="180" fontId="4" fillId="0" borderId="17" xfId="33" applyNumberFormat="1" applyFont="1" applyFill="1" applyBorder="1" applyAlignment="1">
      <alignment horizontal="center"/>
      <protection/>
    </xf>
    <xf numFmtId="180" fontId="4" fillId="0" borderId="37" xfId="33" applyNumberFormat="1" applyFont="1" applyFill="1" applyBorder="1" applyAlignment="1">
      <alignment horizontal="center"/>
      <protection/>
    </xf>
    <xf numFmtId="180" fontId="4" fillId="0" borderId="53" xfId="33" applyNumberFormat="1" applyFont="1" applyFill="1" applyBorder="1" applyAlignment="1">
      <alignment horizontal="center"/>
      <protection/>
    </xf>
    <xf numFmtId="180" fontId="4" fillId="0" borderId="54" xfId="33" applyNumberFormat="1" applyFont="1" applyFill="1" applyBorder="1" applyAlignment="1">
      <alignment horizontal="center"/>
      <protection/>
    </xf>
    <xf numFmtId="180" fontId="4" fillId="0" borderId="55" xfId="33" applyNumberFormat="1" applyFont="1" applyFill="1" applyBorder="1" applyAlignment="1">
      <alignment horizontal="center"/>
      <protection/>
    </xf>
    <xf numFmtId="180" fontId="4" fillId="0" borderId="56" xfId="33" applyNumberFormat="1" applyFont="1" applyFill="1" applyBorder="1" applyAlignment="1">
      <alignment horizontal="center"/>
      <protection/>
    </xf>
    <xf numFmtId="180" fontId="4" fillId="0" borderId="57" xfId="0" applyNumberFormat="1" applyFont="1" applyFill="1" applyBorder="1" applyAlignment="1">
      <alignment horizontal="center"/>
    </xf>
    <xf numFmtId="180" fontId="4" fillId="0" borderId="17" xfId="0" applyNumberFormat="1" applyFont="1" applyFill="1" applyBorder="1" applyAlignment="1">
      <alignment horizontal="center"/>
    </xf>
    <xf numFmtId="180" fontId="4" fillId="0" borderId="37" xfId="0" applyNumberFormat="1" applyFont="1" applyFill="1" applyBorder="1" applyAlignment="1">
      <alignment horizontal="center"/>
    </xf>
    <xf numFmtId="180" fontId="4" fillId="0" borderId="51" xfId="0" applyNumberFormat="1" applyFont="1" applyFill="1" applyBorder="1" applyAlignment="1">
      <alignment horizontal="center"/>
    </xf>
    <xf numFmtId="180" fontId="4" fillId="0" borderId="16" xfId="0" applyNumberFormat="1" applyFont="1" applyFill="1" applyBorder="1" applyAlignment="1">
      <alignment horizontal="center"/>
    </xf>
    <xf numFmtId="180" fontId="8" fillId="0" borderId="16" xfId="33" applyNumberFormat="1" applyFont="1" applyFill="1" applyBorder="1" applyAlignment="1">
      <alignment horizontal="center" vertical="center"/>
      <protection/>
    </xf>
    <xf numFmtId="1" fontId="4" fillId="0" borderId="51" xfId="0" applyNumberFormat="1" applyFont="1" applyFill="1" applyBorder="1" applyAlignment="1">
      <alignment horizontal="center"/>
    </xf>
    <xf numFmtId="180" fontId="8" fillId="0" borderId="36" xfId="33" applyNumberFormat="1" applyFont="1" applyFill="1" applyBorder="1" applyAlignment="1">
      <alignment horizontal="center" vertical="center"/>
      <protection/>
    </xf>
    <xf numFmtId="1" fontId="4" fillId="0" borderId="16" xfId="0" applyNumberFormat="1" applyFont="1" applyFill="1" applyBorder="1" applyAlignment="1">
      <alignment horizontal="center"/>
    </xf>
    <xf numFmtId="1" fontId="4" fillId="0" borderId="38" xfId="0" applyNumberFormat="1" applyFont="1" applyFill="1" applyBorder="1" applyAlignment="1">
      <alignment horizontal="center"/>
    </xf>
    <xf numFmtId="180" fontId="2" fillId="32" borderId="58" xfId="33" applyNumberFormat="1" applyFont="1" applyFill="1" applyBorder="1" applyAlignment="1">
      <alignment horizontal="center" vertical="center" wrapText="1"/>
      <protection/>
    </xf>
    <xf numFmtId="180" fontId="2" fillId="32" borderId="17" xfId="33" applyNumberFormat="1" applyFont="1" applyFill="1" applyBorder="1" applyAlignment="1">
      <alignment horizontal="center" vertical="center"/>
      <protection/>
    </xf>
    <xf numFmtId="180" fontId="4" fillId="32" borderId="17" xfId="33" applyNumberFormat="1" applyFont="1" applyFill="1" applyBorder="1" applyAlignment="1">
      <alignment horizontal="center"/>
      <protection/>
    </xf>
    <xf numFmtId="180" fontId="4" fillId="0" borderId="57" xfId="33" applyNumberFormat="1" applyFont="1" applyFill="1" applyBorder="1" applyAlignment="1">
      <alignment horizontal="center"/>
      <protection/>
    </xf>
    <xf numFmtId="180" fontId="4" fillId="33" borderId="17" xfId="33" applyNumberFormat="1" applyFont="1" applyFill="1" applyBorder="1" applyAlignment="1">
      <alignment horizontal="center"/>
      <protection/>
    </xf>
    <xf numFmtId="180" fontId="4" fillId="33" borderId="37" xfId="33" applyNumberFormat="1" applyFont="1" applyFill="1" applyBorder="1" applyAlignment="1">
      <alignment horizontal="center"/>
      <protection/>
    </xf>
    <xf numFmtId="180" fontId="4" fillId="0" borderId="0" xfId="0" applyNumberFormat="1" applyFont="1" applyFill="1" applyAlignment="1">
      <alignment horizontal="center"/>
    </xf>
    <xf numFmtId="180" fontId="4" fillId="32" borderId="58" xfId="33" applyNumberFormat="1" applyFont="1" applyFill="1" applyBorder="1" applyAlignment="1">
      <alignment horizontal="center"/>
      <protection/>
    </xf>
    <xf numFmtId="180" fontId="4" fillId="0" borderId="51" xfId="33" applyNumberFormat="1" applyFont="1" applyFill="1" applyBorder="1" applyAlignment="1">
      <alignment horizontal="center"/>
      <protection/>
    </xf>
    <xf numFmtId="180" fontId="4" fillId="32" borderId="55" xfId="33" applyNumberFormat="1" applyFont="1" applyFill="1" applyBorder="1" applyAlignment="1">
      <alignment horizontal="center"/>
      <protection/>
    </xf>
    <xf numFmtId="180" fontId="4" fillId="32" borderId="16" xfId="33" applyNumberFormat="1" applyFont="1" applyFill="1" applyBorder="1" applyAlignment="1">
      <alignment horizontal="center"/>
      <protection/>
    </xf>
    <xf numFmtId="180" fontId="4" fillId="32" borderId="59" xfId="33" applyNumberFormat="1" applyFont="1" applyFill="1" applyBorder="1" applyAlignment="1">
      <alignment horizontal="center"/>
      <protection/>
    </xf>
    <xf numFmtId="180" fontId="4" fillId="32" borderId="53" xfId="33" applyNumberFormat="1" applyFont="1" applyFill="1" applyBorder="1" applyAlignment="1">
      <alignment horizontal="center"/>
      <protection/>
    </xf>
    <xf numFmtId="180" fontId="4" fillId="32" borderId="36" xfId="33" applyNumberFormat="1" applyFont="1" applyFill="1" applyBorder="1" applyAlignment="1">
      <alignment horizontal="center"/>
      <protection/>
    </xf>
    <xf numFmtId="180" fontId="4" fillId="0" borderId="60" xfId="33" applyNumberFormat="1" applyFont="1" applyFill="1" applyBorder="1" applyAlignment="1">
      <alignment horizontal="center"/>
      <protection/>
    </xf>
    <xf numFmtId="180" fontId="4" fillId="33" borderId="36" xfId="33" applyNumberFormat="1" applyFont="1" applyFill="1" applyBorder="1" applyAlignment="1">
      <alignment horizontal="center"/>
      <protection/>
    </xf>
    <xf numFmtId="180" fontId="4" fillId="33" borderId="31" xfId="33" applyNumberFormat="1" applyFont="1" applyFill="1" applyBorder="1" applyAlignment="1">
      <alignment horizontal="center"/>
      <protection/>
    </xf>
    <xf numFmtId="180" fontId="4" fillId="0" borderId="60" xfId="0" applyNumberFormat="1" applyFont="1" applyFill="1" applyBorder="1" applyAlignment="1">
      <alignment horizontal="center"/>
    </xf>
    <xf numFmtId="180" fontId="4" fillId="0" borderId="53" xfId="0" applyNumberFormat="1" applyFont="1" applyFill="1" applyBorder="1" applyAlignment="1">
      <alignment horizontal="center"/>
    </xf>
    <xf numFmtId="180" fontId="4" fillId="0" borderId="54" xfId="0" applyNumberFormat="1" applyFont="1" applyFill="1" applyBorder="1" applyAlignment="1">
      <alignment horizontal="center"/>
    </xf>
    <xf numFmtId="180" fontId="5" fillId="0" borderId="0" xfId="0" applyNumberFormat="1" applyFont="1" applyFill="1" applyAlignment="1">
      <alignment horizontal="center"/>
    </xf>
    <xf numFmtId="180" fontId="5" fillId="0" borderId="0" xfId="0" applyNumberFormat="1" applyFont="1" applyFill="1" applyAlignment="1">
      <alignment horizontal="center" vertical="center"/>
    </xf>
    <xf numFmtId="180" fontId="11" fillId="0" borderId="0" xfId="0" applyNumberFormat="1" applyFont="1" applyAlignment="1">
      <alignment horizontal="center" vertical="center"/>
    </xf>
    <xf numFmtId="1" fontId="0" fillId="0" borderId="0" xfId="0" applyNumberFormat="1" applyFont="1" applyAlignment="1">
      <alignment/>
    </xf>
    <xf numFmtId="1" fontId="0" fillId="0" borderId="0" xfId="0" applyNumberFormat="1" applyFont="1" applyAlignment="1">
      <alignment horizontal="center" vertical="top"/>
    </xf>
    <xf numFmtId="180" fontId="0" fillId="35" borderId="0" xfId="0" applyNumberFormat="1" applyFont="1" applyFill="1" applyAlignment="1">
      <alignment/>
    </xf>
    <xf numFmtId="49" fontId="8" fillId="32" borderId="13" xfId="33" applyNumberFormat="1" applyFont="1" applyFill="1" applyBorder="1" applyAlignment="1">
      <alignment horizontal="center" vertical="center"/>
      <protection/>
    </xf>
    <xf numFmtId="180" fontId="8" fillId="0" borderId="17" xfId="33" applyNumberFormat="1" applyFont="1" applyFill="1" applyBorder="1" applyAlignment="1">
      <alignment horizontal="center" vertical="center"/>
      <protection/>
    </xf>
    <xf numFmtId="180" fontId="5" fillId="0" borderId="41" xfId="33" applyNumberFormat="1" applyFont="1" applyFill="1" applyBorder="1" applyAlignment="1">
      <alignment horizontal="center" vertical="center" wrapText="1"/>
      <protection/>
    </xf>
    <xf numFmtId="180" fontId="5" fillId="0" borderId="17" xfId="33" applyNumberFormat="1" applyFont="1" applyFill="1" applyBorder="1" applyAlignment="1">
      <alignment horizontal="center" vertical="center" wrapText="1"/>
      <protection/>
    </xf>
    <xf numFmtId="180" fontId="4" fillId="0" borderId="37" xfId="33" applyNumberFormat="1" applyFont="1" applyFill="1" applyBorder="1" applyAlignment="1">
      <alignment horizontal="center" vertical="center"/>
      <protection/>
    </xf>
    <xf numFmtId="180" fontId="4" fillId="0" borderId="23" xfId="33" applyNumberFormat="1" applyFont="1" applyFill="1" applyBorder="1" applyAlignment="1">
      <alignment horizontal="center" vertical="center" wrapText="1"/>
      <protection/>
    </xf>
    <xf numFmtId="180" fontId="4" fillId="0" borderId="57" xfId="33" applyNumberFormat="1" applyFont="1" applyFill="1" applyBorder="1" applyAlignment="1">
      <alignment horizontal="center" vertical="center" wrapText="1"/>
      <protection/>
    </xf>
    <xf numFmtId="180" fontId="5" fillId="0" borderId="23" xfId="33" applyNumberFormat="1" applyFont="1" applyFill="1" applyBorder="1" applyAlignment="1">
      <alignment horizontal="center" vertical="center" wrapText="1"/>
      <protection/>
    </xf>
    <xf numFmtId="180" fontId="4" fillId="0" borderId="26" xfId="33" applyNumberFormat="1" applyFont="1" applyFill="1" applyBorder="1" applyAlignment="1">
      <alignment horizontal="center" vertical="center" wrapText="1"/>
      <protection/>
    </xf>
    <xf numFmtId="180" fontId="5" fillId="0" borderId="26" xfId="33" applyNumberFormat="1" applyFont="1" applyFill="1" applyBorder="1" applyAlignment="1">
      <alignment horizontal="center" vertical="center" wrapText="1"/>
      <protection/>
    </xf>
    <xf numFmtId="180" fontId="4" fillId="35" borderId="17" xfId="33" applyNumberFormat="1" applyFont="1" applyFill="1" applyBorder="1" applyAlignment="1">
      <alignment horizontal="center" vertical="center"/>
      <protection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180" fontId="26" fillId="0" borderId="0" xfId="33" applyNumberFormat="1" applyFont="1" applyFill="1" applyAlignment="1">
      <alignment/>
      <protection/>
    </xf>
    <xf numFmtId="180" fontId="26" fillId="0" borderId="0" xfId="33" applyNumberFormat="1" applyFont="1" applyFill="1">
      <alignment/>
      <protection/>
    </xf>
    <xf numFmtId="180" fontId="26" fillId="0" borderId="0" xfId="0" applyNumberFormat="1" applyFont="1" applyFill="1" applyAlignment="1">
      <alignment/>
    </xf>
    <xf numFmtId="180" fontId="3" fillId="0" borderId="15" xfId="33" applyNumberFormat="1" applyFont="1" applyFill="1" applyBorder="1" applyAlignment="1">
      <alignment horizontal="center" vertical="center" wrapText="1"/>
      <protection/>
    </xf>
    <xf numFmtId="180" fontId="27" fillId="34" borderId="12" xfId="33" applyNumberFormat="1" applyFont="1" applyFill="1" applyBorder="1" applyAlignment="1">
      <alignment horizontal="center" vertical="center" textRotation="90" wrapText="1"/>
      <protection/>
    </xf>
    <xf numFmtId="180" fontId="3" fillId="12" borderId="12" xfId="33" applyNumberFormat="1" applyFont="1" applyFill="1" applyBorder="1" applyAlignment="1">
      <alignment horizontal="center" vertical="center" textRotation="90" wrapText="1"/>
      <protection/>
    </xf>
    <xf numFmtId="180" fontId="3" fillId="12" borderId="19" xfId="33" applyNumberFormat="1" applyFont="1" applyFill="1" applyBorder="1" applyAlignment="1">
      <alignment horizontal="center" vertical="center" textRotation="90" wrapText="1"/>
      <protection/>
    </xf>
    <xf numFmtId="180" fontId="25" fillId="12" borderId="15" xfId="33" applyNumberFormat="1" applyFont="1" applyFill="1" applyBorder="1" applyAlignment="1">
      <alignment horizontal="center" vertical="center" wrapText="1"/>
      <protection/>
    </xf>
    <xf numFmtId="1" fontId="25" fillId="0" borderId="12" xfId="33" applyNumberFormat="1" applyFont="1" applyFill="1" applyBorder="1" applyAlignment="1">
      <alignment horizontal="center" vertical="center"/>
      <protection/>
    </xf>
    <xf numFmtId="1" fontId="25" fillId="0" borderId="13" xfId="33" applyNumberFormat="1" applyFont="1" applyFill="1" applyBorder="1" applyAlignment="1">
      <alignment horizontal="center" vertical="center"/>
      <protection/>
    </xf>
    <xf numFmtId="49" fontId="25" fillId="0" borderId="13" xfId="33" applyNumberFormat="1" applyFont="1" applyFill="1" applyBorder="1" applyAlignment="1">
      <alignment horizontal="center" vertical="center" wrapText="1"/>
      <protection/>
    </xf>
    <xf numFmtId="49" fontId="25" fillId="0" borderId="13" xfId="33" applyNumberFormat="1" applyFont="1" applyFill="1" applyBorder="1" applyAlignment="1">
      <alignment horizontal="center" vertical="center"/>
      <protection/>
    </xf>
    <xf numFmtId="180" fontId="25" fillId="0" borderId="21" xfId="33" applyNumberFormat="1" applyFont="1" applyFill="1" applyBorder="1" applyAlignment="1">
      <alignment horizontal="center" vertical="center" wrapText="1"/>
      <protection/>
    </xf>
    <xf numFmtId="180" fontId="3" fillId="0" borderId="0" xfId="0" applyNumberFormat="1" applyFont="1" applyFill="1" applyAlignment="1">
      <alignment horizontal="center" vertical="center"/>
    </xf>
    <xf numFmtId="180" fontId="25" fillId="0" borderId="15" xfId="33" applyNumberFormat="1" applyFont="1" applyFill="1" applyBorder="1">
      <alignment/>
      <protection/>
    </xf>
    <xf numFmtId="180" fontId="25" fillId="0" borderId="12" xfId="33" applyNumberFormat="1" applyFont="1" applyFill="1" applyBorder="1">
      <alignment/>
      <protection/>
    </xf>
    <xf numFmtId="180" fontId="25" fillId="12" borderId="13" xfId="33" applyNumberFormat="1" applyFont="1" applyFill="1" applyBorder="1">
      <alignment/>
      <protection/>
    </xf>
    <xf numFmtId="180" fontId="25" fillId="12" borderId="14" xfId="33" applyNumberFormat="1" applyFont="1" applyFill="1" applyBorder="1" applyAlignment="1">
      <alignment horizontal="center"/>
      <protection/>
    </xf>
    <xf numFmtId="180" fontId="25" fillId="0" borderId="12" xfId="33" applyNumberFormat="1" applyFont="1" applyFill="1" applyBorder="1" applyAlignment="1">
      <alignment horizontal="center"/>
      <protection/>
    </xf>
    <xf numFmtId="180" fontId="25" fillId="0" borderId="13" xfId="33" applyNumberFormat="1" applyFont="1" applyFill="1" applyBorder="1" applyAlignment="1">
      <alignment horizontal="center"/>
      <protection/>
    </xf>
    <xf numFmtId="180" fontId="25" fillId="0" borderId="14" xfId="33" applyNumberFormat="1" applyFont="1" applyFill="1" applyBorder="1" applyAlignment="1">
      <alignment horizontal="center"/>
      <protection/>
    </xf>
    <xf numFmtId="180" fontId="25" fillId="0" borderId="15" xfId="33" applyNumberFormat="1" applyFont="1" applyFill="1" applyBorder="1" applyAlignment="1">
      <alignment horizontal="center"/>
      <protection/>
    </xf>
    <xf numFmtId="180" fontId="25" fillId="0" borderId="0" xfId="0" applyNumberFormat="1" applyFont="1" applyFill="1" applyAlignment="1">
      <alignment/>
    </xf>
    <xf numFmtId="180" fontId="25" fillId="35" borderId="15" xfId="33" applyNumberFormat="1" applyFont="1" applyFill="1" applyBorder="1">
      <alignment/>
      <protection/>
    </xf>
    <xf numFmtId="180" fontId="25" fillId="12" borderId="14" xfId="33" applyNumberFormat="1" applyFont="1" applyFill="1" applyBorder="1">
      <alignment/>
      <protection/>
    </xf>
    <xf numFmtId="180" fontId="28" fillId="0" borderId="12" xfId="33" applyNumberFormat="1" applyFont="1" applyFill="1" applyBorder="1" applyAlignment="1">
      <alignment horizontal="center"/>
      <protection/>
    </xf>
    <xf numFmtId="180" fontId="28" fillId="0" borderId="19" xfId="33" applyNumberFormat="1" applyFont="1" applyFill="1" applyBorder="1" applyAlignment="1">
      <alignment horizontal="center"/>
      <protection/>
    </xf>
    <xf numFmtId="1" fontId="28" fillId="0" borderId="12" xfId="33" applyNumberFormat="1" applyFont="1" applyFill="1" applyBorder="1" applyAlignment="1">
      <alignment horizontal="center"/>
      <protection/>
    </xf>
    <xf numFmtId="180" fontId="28" fillId="0" borderId="21" xfId="33" applyNumberFormat="1" applyFont="1" applyFill="1" applyBorder="1" applyAlignment="1">
      <alignment horizontal="center"/>
      <protection/>
    </xf>
    <xf numFmtId="180" fontId="28" fillId="0" borderId="15" xfId="33" applyNumberFormat="1" applyFont="1" applyFill="1" applyBorder="1" applyAlignment="1">
      <alignment horizontal="center"/>
      <protection/>
    </xf>
    <xf numFmtId="180" fontId="28" fillId="0" borderId="0" xfId="0" applyNumberFormat="1" applyFont="1" applyFill="1" applyAlignment="1">
      <alignment/>
    </xf>
    <xf numFmtId="180" fontId="3" fillId="0" borderId="17" xfId="33" applyNumberFormat="1" applyFont="1" applyFill="1" applyBorder="1" applyAlignment="1">
      <alignment horizontal="center"/>
      <protection/>
    </xf>
    <xf numFmtId="180" fontId="3" fillId="0" borderId="0" xfId="0" applyNumberFormat="1" applyFont="1" applyFill="1" applyAlignment="1">
      <alignment/>
    </xf>
    <xf numFmtId="180" fontId="3" fillId="0" borderId="16" xfId="33" applyNumberFormat="1" applyFont="1" applyFill="1" applyBorder="1" applyAlignment="1">
      <alignment horizontal="center"/>
      <protection/>
    </xf>
    <xf numFmtId="180" fontId="3" fillId="0" borderId="53" xfId="33" applyNumberFormat="1" applyFont="1" applyFill="1" applyBorder="1" applyAlignment="1">
      <alignment horizontal="center"/>
      <protection/>
    </xf>
    <xf numFmtId="180" fontId="25" fillId="12" borderId="15" xfId="33" applyNumberFormat="1" applyFont="1" applyFill="1" applyBorder="1" applyAlignment="1">
      <alignment horizontal="center"/>
      <protection/>
    </xf>
    <xf numFmtId="180" fontId="28" fillId="12" borderId="15" xfId="33" applyNumberFormat="1" applyFont="1" applyFill="1" applyBorder="1" applyAlignment="1">
      <alignment horizontal="center"/>
      <protection/>
    </xf>
    <xf numFmtId="180" fontId="7" fillId="35" borderId="0" xfId="0" applyNumberFormat="1" applyFont="1" applyFill="1" applyAlignment="1">
      <alignment horizontal="left" vertical="center"/>
    </xf>
    <xf numFmtId="180" fontId="7" fillId="0" borderId="0" xfId="0" applyNumberFormat="1" applyFont="1" applyFill="1" applyAlignment="1">
      <alignment horizontal="left" vertical="center"/>
    </xf>
    <xf numFmtId="49" fontId="8" fillId="32" borderId="61" xfId="33" applyNumberFormat="1" applyFont="1" applyFill="1" applyBorder="1" applyAlignment="1">
      <alignment horizontal="left" vertical="center" wrapText="1"/>
      <protection/>
    </xf>
    <xf numFmtId="49" fontId="8" fillId="32" borderId="13" xfId="33" applyNumberFormat="1" applyFont="1" applyFill="1" applyBorder="1" applyAlignment="1">
      <alignment horizontal="left" vertical="center"/>
      <protection/>
    </xf>
    <xf numFmtId="180" fontId="4" fillId="12" borderId="12" xfId="33" applyNumberFormat="1" applyFont="1" applyFill="1" applyBorder="1" applyAlignment="1">
      <alignment horizontal="left" vertical="center" wrapText="1"/>
      <protection/>
    </xf>
    <xf numFmtId="1" fontId="4" fillId="0" borderId="12" xfId="33" applyNumberFormat="1" applyFont="1" applyFill="1" applyBorder="1" applyAlignment="1">
      <alignment horizontal="left" vertical="center"/>
      <protection/>
    </xf>
    <xf numFmtId="1" fontId="4" fillId="0" borderId="13" xfId="33" applyNumberFormat="1" applyFont="1" applyFill="1" applyBorder="1" applyAlignment="1">
      <alignment horizontal="left" vertical="center"/>
      <protection/>
    </xf>
    <xf numFmtId="49" fontId="4" fillId="0" borderId="13" xfId="33" applyNumberFormat="1" applyFont="1" applyFill="1" applyBorder="1" applyAlignment="1">
      <alignment horizontal="left" vertical="center" wrapText="1"/>
      <protection/>
    </xf>
    <xf numFmtId="49" fontId="4" fillId="0" borderId="13" xfId="33" applyNumberFormat="1" applyFont="1" applyFill="1" applyBorder="1" applyAlignment="1">
      <alignment horizontal="left" vertical="center"/>
      <protection/>
    </xf>
    <xf numFmtId="1" fontId="4" fillId="12" borderId="12" xfId="33" applyNumberFormat="1" applyFont="1" applyFill="1" applyBorder="1" applyAlignment="1">
      <alignment horizontal="left" vertical="center"/>
      <protection/>
    </xf>
    <xf numFmtId="1" fontId="4" fillId="12" borderId="13" xfId="33" applyNumberFormat="1" applyFont="1" applyFill="1" applyBorder="1" applyAlignment="1">
      <alignment horizontal="left" vertical="center"/>
      <protection/>
    </xf>
    <xf numFmtId="49" fontId="4" fillId="12" borderId="13" xfId="33" applyNumberFormat="1" applyFont="1" applyFill="1" applyBorder="1" applyAlignment="1">
      <alignment horizontal="left" vertical="center" wrapText="1"/>
      <protection/>
    </xf>
    <xf numFmtId="49" fontId="4" fillId="12" borderId="13" xfId="33" applyNumberFormat="1" applyFont="1" applyFill="1" applyBorder="1" applyAlignment="1">
      <alignment horizontal="left" vertical="center"/>
      <protection/>
    </xf>
    <xf numFmtId="2" fontId="4" fillId="12" borderId="61" xfId="33" applyNumberFormat="1" applyFont="1" applyFill="1" applyBorder="1" applyAlignment="1">
      <alignment horizontal="left" vertical="center" wrapText="1"/>
      <protection/>
    </xf>
    <xf numFmtId="180" fontId="5" fillId="12" borderId="13" xfId="33" applyNumberFormat="1" applyFont="1" applyFill="1" applyBorder="1" applyAlignment="1">
      <alignment horizontal="left" vertical="center" wrapText="1"/>
      <protection/>
    </xf>
    <xf numFmtId="180" fontId="4" fillId="36" borderId="12" xfId="33" applyNumberFormat="1" applyFont="1" applyFill="1" applyBorder="1" applyAlignment="1">
      <alignment horizontal="left" vertical="center" wrapText="1"/>
      <protection/>
    </xf>
    <xf numFmtId="180" fontId="4" fillId="35" borderId="0" xfId="0" applyNumberFormat="1" applyFont="1" applyFill="1" applyAlignment="1">
      <alignment horizontal="left" vertical="center"/>
    </xf>
    <xf numFmtId="180" fontId="4" fillId="0" borderId="0" xfId="0" applyNumberFormat="1" applyFont="1" applyFill="1" applyAlignment="1">
      <alignment horizontal="left" vertical="center"/>
    </xf>
    <xf numFmtId="180" fontId="4" fillId="35" borderId="23" xfId="33" applyNumberFormat="1" applyFont="1" applyFill="1" applyBorder="1" applyAlignment="1">
      <alignment horizontal="left" vertical="center"/>
      <protection/>
    </xf>
    <xf numFmtId="180" fontId="4" fillId="35" borderId="58" xfId="33" applyNumberFormat="1" applyFont="1" applyFill="1" applyBorder="1" applyAlignment="1">
      <alignment horizontal="left" vertical="center"/>
      <protection/>
    </xf>
    <xf numFmtId="180" fontId="4" fillId="35" borderId="17" xfId="33" applyNumberFormat="1" applyFont="1" applyFill="1" applyBorder="1" applyAlignment="1">
      <alignment horizontal="left" vertical="center"/>
      <protection/>
    </xf>
    <xf numFmtId="180" fontId="2" fillId="35" borderId="17" xfId="33" applyNumberFormat="1" applyFont="1" applyFill="1" applyBorder="1" applyAlignment="1">
      <alignment horizontal="left" vertical="center"/>
      <protection/>
    </xf>
    <xf numFmtId="180" fontId="4" fillId="35" borderId="16" xfId="33" applyNumberFormat="1" applyFont="1" applyFill="1" applyBorder="1" applyAlignment="1">
      <alignment horizontal="left" vertical="center"/>
      <protection/>
    </xf>
    <xf numFmtId="1" fontId="4" fillId="35" borderId="17" xfId="33" applyNumberFormat="1" applyFont="1" applyFill="1" applyBorder="1" applyAlignment="1">
      <alignment horizontal="left" vertical="center"/>
      <protection/>
    </xf>
    <xf numFmtId="1" fontId="4" fillId="35" borderId="16" xfId="33" applyNumberFormat="1" applyFont="1" applyFill="1" applyBorder="1" applyAlignment="1">
      <alignment horizontal="left" vertical="center"/>
      <protection/>
    </xf>
    <xf numFmtId="180" fontId="4" fillId="35" borderId="55" xfId="33" applyNumberFormat="1" applyFont="1" applyFill="1" applyBorder="1" applyAlignment="1">
      <alignment horizontal="left" vertical="center"/>
      <protection/>
    </xf>
    <xf numFmtId="180" fontId="4" fillId="35" borderId="59" xfId="33" applyNumberFormat="1" applyFont="1" applyFill="1" applyBorder="1" applyAlignment="1">
      <alignment horizontal="left" vertical="center"/>
      <protection/>
    </xf>
    <xf numFmtId="180" fontId="4" fillId="35" borderId="53" xfId="33" applyNumberFormat="1" applyFont="1" applyFill="1" applyBorder="1" applyAlignment="1">
      <alignment horizontal="left" vertical="center"/>
      <protection/>
    </xf>
    <xf numFmtId="180" fontId="4" fillId="35" borderId="36" xfId="33" applyNumberFormat="1" applyFont="1" applyFill="1" applyBorder="1" applyAlignment="1">
      <alignment horizontal="left" vertical="center"/>
      <protection/>
    </xf>
    <xf numFmtId="1" fontId="4" fillId="35" borderId="53" xfId="33" applyNumberFormat="1" applyFont="1" applyFill="1" applyBorder="1" applyAlignment="1">
      <alignment horizontal="left" vertical="center"/>
      <protection/>
    </xf>
    <xf numFmtId="180" fontId="5" fillId="35" borderId="15" xfId="33" applyNumberFormat="1" applyFont="1" applyFill="1" applyBorder="1" applyAlignment="1">
      <alignment horizontal="left" vertical="center"/>
      <protection/>
    </xf>
    <xf numFmtId="180" fontId="5" fillId="35" borderId="61" xfId="33" applyNumberFormat="1" applyFont="1" applyFill="1" applyBorder="1" applyAlignment="1">
      <alignment horizontal="left" vertical="center"/>
      <protection/>
    </xf>
    <xf numFmtId="1" fontId="5" fillId="35" borderId="61" xfId="33" applyNumberFormat="1" applyFont="1" applyFill="1" applyBorder="1" applyAlignment="1">
      <alignment horizontal="left" vertical="center"/>
      <protection/>
    </xf>
    <xf numFmtId="180" fontId="5" fillId="35" borderId="0" xfId="0" applyNumberFormat="1" applyFont="1" applyFill="1" applyAlignment="1">
      <alignment horizontal="left" vertical="center"/>
    </xf>
    <xf numFmtId="0" fontId="4" fillId="35" borderId="26" xfId="33" applyNumberFormat="1" applyFont="1" applyFill="1" applyBorder="1" applyAlignment="1">
      <alignment horizontal="left" vertical="center"/>
      <protection/>
    </xf>
    <xf numFmtId="180" fontId="4" fillId="35" borderId="26" xfId="33" applyNumberFormat="1" applyFont="1" applyFill="1" applyBorder="1" applyAlignment="1">
      <alignment horizontal="left" vertical="center"/>
      <protection/>
    </xf>
    <xf numFmtId="180" fontId="72" fillId="0" borderId="0" xfId="0" applyNumberFormat="1" applyFont="1" applyAlignment="1">
      <alignment horizontal="left" vertical="center"/>
    </xf>
    <xf numFmtId="1" fontId="72" fillId="0" borderId="0" xfId="0" applyNumberFormat="1" applyFont="1" applyAlignment="1">
      <alignment horizontal="left" vertical="center"/>
    </xf>
    <xf numFmtId="2" fontId="72" fillId="0" borderId="0" xfId="0" applyNumberFormat="1" applyFont="1" applyAlignment="1">
      <alignment horizontal="left" vertical="center"/>
    </xf>
    <xf numFmtId="180" fontId="72" fillId="35" borderId="0" xfId="0" applyNumberFormat="1" applyFont="1" applyFill="1" applyAlignment="1">
      <alignment horizontal="left" vertical="center"/>
    </xf>
    <xf numFmtId="1" fontId="0" fillId="0" borderId="0" xfId="0" applyNumberFormat="1" applyFont="1" applyAlignment="1">
      <alignment horizontal="left" vertical="center"/>
    </xf>
    <xf numFmtId="180" fontId="0" fillId="0" borderId="0" xfId="0" applyNumberFormat="1" applyFont="1" applyAlignment="1">
      <alignment horizontal="left" vertical="center"/>
    </xf>
    <xf numFmtId="2" fontId="0" fillId="0" borderId="0" xfId="0" applyNumberFormat="1" applyFont="1" applyAlignment="1">
      <alignment horizontal="left" vertical="center"/>
    </xf>
    <xf numFmtId="180" fontId="0" fillId="35" borderId="0" xfId="0" applyNumberFormat="1" applyFont="1" applyFill="1" applyAlignment="1">
      <alignment horizontal="left" vertical="center"/>
    </xf>
    <xf numFmtId="0" fontId="25" fillId="0" borderId="0" xfId="0" applyFont="1" applyAlignment="1">
      <alignment/>
    </xf>
    <xf numFmtId="180" fontId="29" fillId="0" borderId="0" xfId="33" applyNumberFormat="1" applyFont="1" applyFill="1">
      <alignment/>
      <protection/>
    </xf>
    <xf numFmtId="1" fontId="25" fillId="0" borderId="13" xfId="33" applyNumberFormat="1" applyFont="1" applyFill="1" applyBorder="1" applyAlignment="1">
      <alignment horizontal="center" vertical="center" wrapText="1"/>
      <protection/>
    </xf>
    <xf numFmtId="180" fontId="25" fillId="0" borderId="15" xfId="33" applyNumberFormat="1" applyFont="1" applyFill="1" applyBorder="1" applyAlignment="1">
      <alignment horizontal="center" vertical="center" wrapText="1"/>
      <protection/>
    </xf>
    <xf numFmtId="2" fontId="29" fillId="0" borderId="0" xfId="33" applyNumberFormat="1" applyFont="1" applyFill="1">
      <alignment/>
      <protection/>
    </xf>
    <xf numFmtId="2" fontId="25" fillId="0" borderId="21" xfId="33" applyNumberFormat="1" applyFont="1" applyFill="1" applyBorder="1" applyAlignment="1">
      <alignment horizontal="center" vertical="center" wrapText="1"/>
      <protection/>
    </xf>
    <xf numFmtId="180" fontId="5" fillId="32" borderId="13" xfId="33" applyNumberFormat="1" applyFont="1" applyFill="1" applyBorder="1" applyAlignment="1">
      <alignment horizontal="left" vertical="center" wrapText="1"/>
      <protection/>
    </xf>
    <xf numFmtId="180" fontId="5" fillId="35" borderId="17" xfId="33" applyNumberFormat="1" applyFont="1" applyFill="1" applyBorder="1" applyAlignment="1">
      <alignment horizontal="left" vertical="center"/>
      <protection/>
    </xf>
    <xf numFmtId="180" fontId="5" fillId="35" borderId="36" xfId="33" applyNumberFormat="1" applyFont="1" applyFill="1" applyBorder="1" applyAlignment="1">
      <alignment horizontal="left" vertical="center"/>
      <protection/>
    </xf>
    <xf numFmtId="180" fontId="73" fillId="0" borderId="0" xfId="0" applyNumberFormat="1" applyFont="1" applyAlignment="1">
      <alignment horizontal="left" vertical="center"/>
    </xf>
    <xf numFmtId="180" fontId="30" fillId="0" borderId="0" xfId="0" applyNumberFormat="1" applyFont="1" applyAlignment="1">
      <alignment horizontal="left" vertical="center"/>
    </xf>
    <xf numFmtId="180" fontId="30" fillId="0" borderId="0" xfId="0" applyNumberFormat="1" applyFont="1" applyAlignment="1">
      <alignment/>
    </xf>
    <xf numFmtId="49" fontId="10" fillId="13" borderId="12" xfId="33" applyNumberFormat="1" applyFont="1" applyFill="1" applyBorder="1" applyAlignment="1">
      <alignment horizontal="left" vertical="center" wrapText="1"/>
      <protection/>
    </xf>
    <xf numFmtId="180" fontId="5" fillId="35" borderId="57" xfId="33" applyNumberFormat="1" applyFont="1" applyFill="1" applyBorder="1" applyAlignment="1">
      <alignment horizontal="left" vertical="center"/>
      <protection/>
    </xf>
    <xf numFmtId="180" fontId="5" fillId="35" borderId="49" xfId="33" applyNumberFormat="1" applyFont="1" applyFill="1" applyBorder="1" applyAlignment="1">
      <alignment horizontal="left" vertical="center"/>
      <protection/>
    </xf>
    <xf numFmtId="180" fontId="5" fillId="12" borderId="12" xfId="33" applyNumberFormat="1" applyFont="1" applyFill="1" applyBorder="1" applyAlignment="1">
      <alignment horizontal="left" vertical="center" wrapText="1"/>
      <protection/>
    </xf>
    <xf numFmtId="180" fontId="5" fillId="12" borderId="18" xfId="33" applyNumberFormat="1" applyFont="1" applyFill="1" applyBorder="1" applyAlignment="1">
      <alignment horizontal="left" vertical="center" wrapText="1"/>
      <protection/>
    </xf>
    <xf numFmtId="180" fontId="5" fillId="35" borderId="41" xfId="33" applyNumberFormat="1" applyFont="1" applyFill="1" applyBorder="1" applyAlignment="1">
      <alignment horizontal="left" vertical="center"/>
      <protection/>
    </xf>
    <xf numFmtId="180" fontId="5" fillId="35" borderId="62" xfId="33" applyNumberFormat="1" applyFont="1" applyFill="1" applyBorder="1" applyAlignment="1">
      <alignment horizontal="left" vertical="center"/>
      <protection/>
    </xf>
    <xf numFmtId="1" fontId="5" fillId="0" borderId="13" xfId="33" applyNumberFormat="1" applyFont="1" applyFill="1" applyBorder="1" applyAlignment="1">
      <alignment horizontal="left" vertical="center" wrapText="1"/>
      <protection/>
    </xf>
    <xf numFmtId="180" fontId="5" fillId="35" borderId="16" xfId="33" applyNumberFormat="1" applyFont="1" applyFill="1" applyBorder="1" applyAlignment="1">
      <alignment horizontal="left" vertical="center"/>
      <protection/>
    </xf>
    <xf numFmtId="180" fontId="5" fillId="35" borderId="53" xfId="33" applyNumberFormat="1" applyFont="1" applyFill="1" applyBorder="1" applyAlignment="1">
      <alignment horizontal="left" vertical="center"/>
      <protection/>
    </xf>
    <xf numFmtId="1" fontId="5" fillId="12" borderId="13" xfId="33" applyNumberFormat="1" applyFont="1" applyFill="1" applyBorder="1" applyAlignment="1">
      <alignment horizontal="left" vertical="center" wrapText="1"/>
      <protection/>
    </xf>
    <xf numFmtId="2" fontId="73" fillId="0" borderId="0" xfId="0" applyNumberFormat="1" applyFont="1" applyAlignment="1">
      <alignment horizontal="left" vertical="center"/>
    </xf>
    <xf numFmtId="2" fontId="30" fillId="0" borderId="0" xfId="0" applyNumberFormat="1" applyFont="1" applyAlignment="1">
      <alignment horizontal="left" vertical="center"/>
    </xf>
    <xf numFmtId="2" fontId="30" fillId="0" borderId="0" xfId="0" applyNumberFormat="1" applyFont="1" applyAlignment="1">
      <alignment/>
    </xf>
    <xf numFmtId="180" fontId="5" fillId="36" borderId="12" xfId="33" applyNumberFormat="1" applyFont="1" applyFill="1" applyBorder="1" applyAlignment="1">
      <alignment horizontal="left" vertical="center" wrapText="1"/>
      <protection/>
    </xf>
    <xf numFmtId="180" fontId="5" fillId="0" borderId="13" xfId="33" applyNumberFormat="1" applyFont="1" applyFill="1" applyBorder="1" applyAlignment="1">
      <alignment horizontal="left" vertical="center" wrapText="1"/>
      <protection/>
    </xf>
    <xf numFmtId="180" fontId="3" fillId="0" borderId="0" xfId="0" applyNumberFormat="1" applyFont="1" applyAlignment="1">
      <alignment/>
    </xf>
    <xf numFmtId="0" fontId="3" fillId="34" borderId="0" xfId="0" applyFont="1" applyFill="1" applyAlignment="1">
      <alignment/>
    </xf>
    <xf numFmtId="0" fontId="31" fillId="0" borderId="0" xfId="0" applyFont="1" applyAlignment="1">
      <alignment/>
    </xf>
    <xf numFmtId="180" fontId="31" fillId="34" borderId="0" xfId="33" applyNumberFormat="1" applyFont="1" applyFill="1">
      <alignment/>
      <protection/>
    </xf>
    <xf numFmtId="180" fontId="31" fillId="34" borderId="0" xfId="0" applyNumberFormat="1" applyFont="1" applyFill="1" applyAlignment="1">
      <alignment/>
    </xf>
    <xf numFmtId="180" fontId="3" fillId="34" borderId="21" xfId="33" applyNumberFormat="1" applyFont="1" applyFill="1" applyBorder="1" applyAlignment="1">
      <alignment horizontal="center" vertical="center" wrapText="1"/>
      <protection/>
    </xf>
    <xf numFmtId="1" fontId="3" fillId="0" borderId="12" xfId="33" applyNumberFormat="1" applyFont="1" applyFill="1" applyBorder="1" applyAlignment="1">
      <alignment horizontal="center" vertical="center"/>
      <protection/>
    </xf>
    <xf numFmtId="1" fontId="3" fillId="0" borderId="13" xfId="33" applyNumberFormat="1" applyFont="1" applyFill="1" applyBorder="1" applyAlignment="1">
      <alignment horizontal="center" vertical="center"/>
      <protection/>
    </xf>
    <xf numFmtId="1" fontId="3" fillId="0" borderId="14" xfId="33" applyNumberFormat="1" applyFont="1" applyFill="1" applyBorder="1" applyAlignment="1">
      <alignment horizontal="center" vertical="center"/>
      <protection/>
    </xf>
    <xf numFmtId="1" fontId="3" fillId="0" borderId="46" xfId="33" applyNumberFormat="1" applyFont="1" applyFill="1" applyBorder="1" applyAlignment="1">
      <alignment horizontal="center" vertical="center"/>
      <protection/>
    </xf>
    <xf numFmtId="1" fontId="3" fillId="0" borderId="15" xfId="33" applyNumberFormat="1" applyFont="1" applyFill="1" applyBorder="1" applyAlignment="1">
      <alignment horizontal="center" vertical="center" wrapText="1"/>
      <protection/>
    </xf>
    <xf numFmtId="1" fontId="3" fillId="0" borderId="19" xfId="33" applyNumberFormat="1" applyFont="1" applyFill="1" applyBorder="1" applyAlignment="1">
      <alignment horizontal="center" vertical="center" wrapText="1"/>
      <protection/>
    </xf>
    <xf numFmtId="49" fontId="3" fillId="0" borderId="13" xfId="33" applyNumberFormat="1" applyFont="1" applyFill="1" applyBorder="1" applyAlignment="1">
      <alignment horizontal="center" vertical="center"/>
      <protection/>
    </xf>
    <xf numFmtId="49" fontId="3" fillId="0" borderId="14" xfId="33" applyNumberFormat="1" applyFont="1" applyFill="1" applyBorder="1" applyAlignment="1">
      <alignment horizontal="center" vertical="center"/>
      <protection/>
    </xf>
    <xf numFmtId="180" fontId="3" fillId="34" borderId="19" xfId="33" applyNumberFormat="1" applyFont="1" applyFill="1" applyBorder="1" applyAlignment="1">
      <alignment horizontal="center" vertical="center" wrapText="1"/>
      <protection/>
    </xf>
    <xf numFmtId="1" fontId="3" fillId="0" borderId="61" xfId="0" applyNumberFormat="1" applyFont="1" applyFill="1" applyBorder="1" applyAlignment="1">
      <alignment horizontal="center" vertical="center"/>
    </xf>
    <xf numFmtId="1" fontId="3" fillId="0" borderId="14" xfId="0" applyNumberFormat="1" applyFont="1" applyFill="1" applyBorder="1" applyAlignment="1">
      <alignment horizontal="center" vertical="center"/>
    </xf>
    <xf numFmtId="1" fontId="3" fillId="0" borderId="15" xfId="0" applyNumberFormat="1" applyFont="1" applyFill="1" applyBorder="1" applyAlignment="1">
      <alignment horizontal="center" vertical="center" wrapText="1"/>
    </xf>
    <xf numFmtId="180" fontId="3" fillId="0" borderId="33" xfId="0" applyNumberFormat="1" applyFont="1" applyFill="1" applyBorder="1" applyAlignment="1">
      <alignment horizontal="center" vertical="center" wrapText="1"/>
    </xf>
    <xf numFmtId="180" fontId="3" fillId="0" borderId="11" xfId="33" applyNumberFormat="1" applyFont="1" applyFill="1" applyBorder="1">
      <alignment/>
      <protection/>
    </xf>
    <xf numFmtId="180" fontId="27" fillId="0" borderId="20" xfId="33" applyNumberFormat="1" applyFont="1" applyFill="1" applyBorder="1">
      <alignment/>
      <protection/>
    </xf>
    <xf numFmtId="180" fontId="25" fillId="34" borderId="21" xfId="33" applyNumberFormat="1" applyFont="1" applyFill="1" applyBorder="1" applyAlignment="1">
      <alignment wrapText="1"/>
      <protection/>
    </xf>
    <xf numFmtId="180" fontId="25" fillId="0" borderId="0" xfId="0" applyNumberFormat="1" applyFont="1" applyFill="1" applyBorder="1" applyAlignment="1">
      <alignment/>
    </xf>
    <xf numFmtId="180" fontId="3" fillId="0" borderId="10" xfId="33" applyNumberFormat="1" applyFont="1" applyFill="1" applyBorder="1">
      <alignment/>
      <protection/>
    </xf>
    <xf numFmtId="180" fontId="25" fillId="34" borderId="21" xfId="33" applyNumberFormat="1" applyFont="1" applyFill="1" applyBorder="1">
      <alignment/>
      <protection/>
    </xf>
    <xf numFmtId="0" fontId="3" fillId="0" borderId="11" xfId="33" applyNumberFormat="1" applyFont="1" applyFill="1" applyBorder="1">
      <alignment/>
      <protection/>
    </xf>
    <xf numFmtId="180" fontId="3" fillId="0" borderId="47" xfId="33" applyNumberFormat="1" applyFont="1" applyFill="1" applyBorder="1">
      <alignment/>
      <protection/>
    </xf>
    <xf numFmtId="180" fontId="25" fillId="0" borderId="21" xfId="33" applyNumberFormat="1" applyFont="1" applyFill="1" applyBorder="1">
      <alignment/>
      <protection/>
    </xf>
    <xf numFmtId="180" fontId="25" fillId="34" borderId="63" xfId="33" applyNumberFormat="1" applyFont="1" applyFill="1" applyBorder="1">
      <alignment/>
      <protection/>
    </xf>
    <xf numFmtId="180" fontId="28" fillId="34" borderId="21" xfId="33" applyNumberFormat="1" applyFont="1" applyFill="1" applyBorder="1">
      <alignment/>
      <protection/>
    </xf>
    <xf numFmtId="180" fontId="3" fillId="0" borderId="23" xfId="33" applyNumberFormat="1" applyFont="1" applyFill="1" applyBorder="1">
      <alignment/>
      <protection/>
    </xf>
    <xf numFmtId="180" fontId="3" fillId="34" borderId="57" xfId="33" applyNumberFormat="1" applyFont="1" applyFill="1" applyBorder="1">
      <alignment/>
      <protection/>
    </xf>
    <xf numFmtId="180" fontId="3" fillId="12" borderId="17" xfId="33" applyNumberFormat="1" applyFont="1" applyFill="1" applyBorder="1">
      <alignment/>
      <protection/>
    </xf>
    <xf numFmtId="180" fontId="3" fillId="12" borderId="37" xfId="33" applyNumberFormat="1" applyFont="1" applyFill="1" applyBorder="1" applyAlignment="1">
      <alignment horizontal="center"/>
      <protection/>
    </xf>
    <xf numFmtId="180" fontId="25" fillId="12" borderId="23" xfId="33" applyNumberFormat="1" applyFont="1" applyFill="1" applyBorder="1" applyAlignment="1">
      <alignment horizontal="center"/>
      <protection/>
    </xf>
    <xf numFmtId="180" fontId="3" fillId="0" borderId="57" xfId="33" applyNumberFormat="1" applyFont="1" applyFill="1" applyBorder="1" applyAlignment="1">
      <alignment horizontal="center"/>
      <protection/>
    </xf>
    <xf numFmtId="180" fontId="25" fillId="0" borderId="17" xfId="33" applyNumberFormat="1" applyFont="1" applyFill="1" applyBorder="1" applyAlignment="1">
      <alignment horizontal="center"/>
      <protection/>
    </xf>
    <xf numFmtId="2" fontId="25" fillId="0" borderId="37" xfId="33" applyNumberFormat="1" applyFont="1" applyFill="1" applyBorder="1" applyAlignment="1">
      <alignment horizontal="center"/>
      <protection/>
    </xf>
    <xf numFmtId="180" fontId="25" fillId="0" borderId="10" xfId="33" applyNumberFormat="1" applyFont="1" applyFill="1" applyBorder="1" applyAlignment="1">
      <alignment horizontal="center"/>
      <protection/>
    </xf>
    <xf numFmtId="180" fontId="25" fillId="0" borderId="23" xfId="33" applyNumberFormat="1" applyFont="1" applyFill="1" applyBorder="1" applyAlignment="1">
      <alignment horizontal="center"/>
      <protection/>
    </xf>
    <xf numFmtId="180" fontId="3" fillId="34" borderId="51" xfId="33" applyNumberFormat="1" applyFont="1" applyFill="1" applyBorder="1">
      <alignment/>
      <protection/>
    </xf>
    <xf numFmtId="180" fontId="3" fillId="12" borderId="16" xfId="33" applyNumberFormat="1" applyFont="1" applyFill="1" applyBorder="1">
      <alignment/>
      <protection/>
    </xf>
    <xf numFmtId="180" fontId="3" fillId="12" borderId="38" xfId="33" applyNumberFormat="1" applyFont="1" applyFill="1" applyBorder="1" applyAlignment="1">
      <alignment horizontal="center"/>
      <protection/>
    </xf>
    <xf numFmtId="180" fontId="3" fillId="0" borderId="51" xfId="33" applyNumberFormat="1" applyFont="1" applyFill="1" applyBorder="1" applyAlignment="1">
      <alignment horizontal="center"/>
      <protection/>
    </xf>
    <xf numFmtId="2" fontId="3" fillId="12" borderId="16" xfId="33" applyNumberFormat="1" applyFont="1" applyFill="1" applyBorder="1">
      <alignment/>
      <protection/>
    </xf>
    <xf numFmtId="180" fontId="3" fillId="33" borderId="16" xfId="33" applyNumberFormat="1" applyFont="1" applyFill="1" applyBorder="1">
      <alignment/>
      <protection/>
    </xf>
    <xf numFmtId="180" fontId="3" fillId="0" borderId="51" xfId="33" applyNumberFormat="1" applyFont="1" applyFill="1" applyBorder="1">
      <alignment/>
      <protection/>
    </xf>
    <xf numFmtId="180" fontId="3" fillId="33" borderId="38" xfId="33" applyNumberFormat="1" applyFont="1" applyFill="1" applyBorder="1" applyAlignment="1">
      <alignment horizontal="center"/>
      <protection/>
    </xf>
    <xf numFmtId="180" fontId="25" fillId="33" borderId="23" xfId="33" applyNumberFormat="1" applyFont="1" applyFill="1" applyBorder="1" applyAlignment="1">
      <alignment horizontal="center"/>
      <protection/>
    </xf>
    <xf numFmtId="180" fontId="3" fillId="34" borderId="60" xfId="33" applyNumberFormat="1" applyFont="1" applyFill="1" applyBorder="1">
      <alignment/>
      <protection/>
    </xf>
    <xf numFmtId="180" fontId="3" fillId="12" borderId="53" xfId="33" applyNumberFormat="1" applyFont="1" applyFill="1" applyBorder="1">
      <alignment/>
      <protection/>
    </xf>
    <xf numFmtId="180" fontId="3" fillId="12" borderId="54" xfId="33" applyNumberFormat="1" applyFont="1" applyFill="1" applyBorder="1" applyAlignment="1">
      <alignment horizontal="center"/>
      <protection/>
    </xf>
    <xf numFmtId="180" fontId="25" fillId="12" borderId="32" xfId="33" applyNumberFormat="1" applyFont="1" applyFill="1" applyBorder="1" applyAlignment="1">
      <alignment horizontal="center"/>
      <protection/>
    </xf>
    <xf numFmtId="180" fontId="3" fillId="0" borderId="60" xfId="33" applyNumberFormat="1" applyFont="1" applyFill="1" applyBorder="1" applyAlignment="1">
      <alignment horizontal="center"/>
      <protection/>
    </xf>
    <xf numFmtId="180" fontId="25" fillId="0" borderId="36" xfId="33" applyNumberFormat="1" applyFont="1" applyFill="1" applyBorder="1" applyAlignment="1">
      <alignment horizontal="center"/>
      <protection/>
    </xf>
    <xf numFmtId="180" fontId="25" fillId="0" borderId="20" xfId="33" applyNumberFormat="1" applyFont="1" applyFill="1" applyBorder="1" applyAlignment="1">
      <alignment horizontal="center"/>
      <protection/>
    </xf>
    <xf numFmtId="180" fontId="25" fillId="0" borderId="32" xfId="33" applyNumberFormat="1" applyFont="1" applyFill="1" applyBorder="1" applyAlignment="1">
      <alignment horizontal="center"/>
      <protection/>
    </xf>
    <xf numFmtId="180" fontId="3" fillId="35" borderId="23" xfId="33" applyNumberFormat="1" applyFont="1" applyFill="1" applyBorder="1">
      <alignment/>
      <protection/>
    </xf>
    <xf numFmtId="0" fontId="3" fillId="35" borderId="26" xfId="33" applyNumberFormat="1" applyFont="1" applyFill="1" applyBorder="1">
      <alignment/>
      <protection/>
    </xf>
    <xf numFmtId="2" fontId="3" fillId="34" borderId="51" xfId="33" applyNumberFormat="1" applyFont="1" applyFill="1" applyBorder="1">
      <alignment/>
      <protection/>
    </xf>
    <xf numFmtId="0" fontId="3" fillId="0" borderId="16" xfId="33" applyNumberFormat="1" applyFont="1" applyFill="1" applyBorder="1" applyAlignment="1">
      <alignment horizontal="center"/>
      <protection/>
    </xf>
    <xf numFmtId="2" fontId="3" fillId="0" borderId="16" xfId="33" applyNumberFormat="1" applyFont="1" applyFill="1" applyBorder="1" applyAlignment="1">
      <alignment horizontal="center"/>
      <protection/>
    </xf>
    <xf numFmtId="180" fontId="25" fillId="0" borderId="16" xfId="33" applyNumberFormat="1" applyFont="1" applyFill="1" applyBorder="1" applyAlignment="1">
      <alignment horizontal="center"/>
      <protection/>
    </xf>
    <xf numFmtId="0" fontId="3" fillId="0" borderId="0" xfId="0" applyNumberFormat="1" applyFont="1" applyFill="1" applyAlignment="1">
      <alignment/>
    </xf>
    <xf numFmtId="180" fontId="3" fillId="35" borderId="26" xfId="33" applyNumberFormat="1" applyFont="1" applyFill="1" applyBorder="1">
      <alignment/>
      <protection/>
    </xf>
    <xf numFmtId="180" fontId="3" fillId="35" borderId="39" xfId="33" applyNumberFormat="1" applyFont="1" applyFill="1" applyBorder="1">
      <alignment/>
      <protection/>
    </xf>
    <xf numFmtId="180" fontId="25" fillId="0" borderId="53" xfId="33" applyNumberFormat="1" applyFont="1" applyFill="1" applyBorder="1" applyAlignment="1">
      <alignment horizontal="center"/>
      <protection/>
    </xf>
    <xf numFmtId="180" fontId="3" fillId="12" borderId="37" xfId="33" applyNumberFormat="1" applyFont="1" applyFill="1" applyBorder="1">
      <alignment/>
      <protection/>
    </xf>
    <xf numFmtId="180" fontId="3" fillId="12" borderId="38" xfId="33" applyNumberFormat="1" applyFont="1" applyFill="1" applyBorder="1">
      <alignment/>
      <protection/>
    </xf>
    <xf numFmtId="180" fontId="3" fillId="12" borderId="54" xfId="33" applyNumberFormat="1" applyFont="1" applyFill="1" applyBorder="1">
      <alignment/>
      <protection/>
    </xf>
    <xf numFmtId="180" fontId="4" fillId="0" borderId="58" xfId="33" applyNumberFormat="1" applyFont="1" applyFill="1" applyBorder="1" applyAlignment="1">
      <alignment horizontal="center"/>
      <protection/>
    </xf>
    <xf numFmtId="180" fontId="5" fillId="0" borderId="36" xfId="33" applyNumberFormat="1" applyFont="1" applyFill="1" applyBorder="1" applyAlignment="1">
      <alignment horizontal="center" vertical="center" wrapText="1"/>
      <protection/>
    </xf>
    <xf numFmtId="180" fontId="5" fillId="0" borderId="61" xfId="33" applyNumberFormat="1" applyFont="1" applyFill="1" applyBorder="1" applyAlignment="1">
      <alignment horizontal="center"/>
      <protection/>
    </xf>
    <xf numFmtId="180" fontId="5" fillId="0" borderId="13" xfId="33" applyNumberFormat="1" applyFont="1" applyFill="1" applyBorder="1" applyAlignment="1">
      <alignment horizontal="center"/>
      <protection/>
    </xf>
    <xf numFmtId="180" fontId="5" fillId="0" borderId="46" xfId="33" applyNumberFormat="1" applyFont="1" applyFill="1" applyBorder="1" applyAlignment="1">
      <alignment horizontal="center"/>
      <protection/>
    </xf>
    <xf numFmtId="180" fontId="5" fillId="0" borderId="12" xfId="33" applyNumberFormat="1" applyFont="1" applyFill="1" applyBorder="1" applyAlignment="1">
      <alignment horizontal="center"/>
      <protection/>
    </xf>
    <xf numFmtId="1" fontId="5" fillId="0" borderId="13" xfId="33" applyNumberFormat="1" applyFont="1" applyFill="1" applyBorder="1" applyAlignment="1">
      <alignment horizontal="center"/>
      <protection/>
    </xf>
    <xf numFmtId="180" fontId="5" fillId="0" borderId="14" xfId="33" applyNumberFormat="1" applyFont="1" applyFill="1" applyBorder="1" applyAlignment="1">
      <alignment horizontal="center"/>
      <protection/>
    </xf>
    <xf numFmtId="180" fontId="5" fillId="0" borderId="15" xfId="33" applyNumberFormat="1" applyFont="1" applyFill="1" applyBorder="1" applyAlignment="1">
      <alignment horizontal="center"/>
      <protection/>
    </xf>
    <xf numFmtId="1" fontId="5" fillId="0" borderId="14" xfId="33" applyNumberFormat="1" applyFont="1" applyFill="1" applyBorder="1" applyAlignment="1">
      <alignment horizontal="center"/>
      <protection/>
    </xf>
    <xf numFmtId="180" fontId="4" fillId="33" borderId="57" xfId="33" applyNumberFormat="1" applyFont="1" applyFill="1" applyBorder="1" applyAlignment="1">
      <alignment horizontal="center" vertical="center" wrapText="1"/>
      <protection/>
    </xf>
    <xf numFmtId="180" fontId="2" fillId="32" borderId="36" xfId="33" applyNumberFormat="1" applyFont="1" applyFill="1" applyBorder="1" applyAlignment="1">
      <alignment horizontal="center" vertical="center"/>
      <protection/>
    </xf>
    <xf numFmtId="180" fontId="4" fillId="0" borderId="31" xfId="33" applyNumberFormat="1" applyFont="1" applyFill="1" applyBorder="1" applyAlignment="1">
      <alignment horizontal="center" vertical="center"/>
      <protection/>
    </xf>
    <xf numFmtId="180" fontId="4" fillId="0" borderId="32" xfId="33" applyNumberFormat="1" applyFont="1" applyFill="1" applyBorder="1" applyAlignment="1">
      <alignment horizontal="center" vertical="center" wrapText="1"/>
      <protection/>
    </xf>
    <xf numFmtId="180" fontId="4" fillId="33" borderId="49" xfId="33" applyNumberFormat="1" applyFont="1" applyFill="1" applyBorder="1" applyAlignment="1">
      <alignment horizontal="center" vertical="center" wrapText="1"/>
      <protection/>
    </xf>
    <xf numFmtId="180" fontId="5" fillId="0" borderId="32" xfId="33" applyNumberFormat="1" applyFont="1" applyFill="1" applyBorder="1" applyAlignment="1">
      <alignment horizontal="center" vertical="center" wrapText="1"/>
      <protection/>
    </xf>
    <xf numFmtId="180" fontId="5" fillId="32" borderId="61" xfId="33" applyNumberFormat="1" applyFont="1" applyFill="1" applyBorder="1" applyAlignment="1">
      <alignment horizontal="center"/>
      <protection/>
    </xf>
    <xf numFmtId="180" fontId="5" fillId="32" borderId="15" xfId="33" applyNumberFormat="1" applyFont="1" applyFill="1" applyBorder="1" applyAlignment="1">
      <alignment horizontal="center"/>
      <protection/>
    </xf>
    <xf numFmtId="180" fontId="5" fillId="32" borderId="12" xfId="33" applyNumberFormat="1" applyFont="1" applyFill="1" applyBorder="1" applyAlignment="1">
      <alignment horizontal="center"/>
      <protection/>
    </xf>
    <xf numFmtId="180" fontId="5" fillId="32" borderId="21" xfId="33" applyNumberFormat="1" applyFont="1" applyFill="1" applyBorder="1" applyAlignment="1">
      <alignment horizontal="center"/>
      <protection/>
    </xf>
    <xf numFmtId="180" fontId="5" fillId="33" borderId="12" xfId="33" applyNumberFormat="1" applyFont="1" applyFill="1" applyBorder="1" applyAlignment="1">
      <alignment horizontal="center"/>
      <protection/>
    </xf>
    <xf numFmtId="180" fontId="5" fillId="33" borderId="61" xfId="33" applyNumberFormat="1" applyFont="1" applyFill="1" applyBorder="1" applyAlignment="1">
      <alignment horizontal="center"/>
      <protection/>
    </xf>
    <xf numFmtId="180" fontId="5" fillId="33" borderId="21" xfId="33" applyNumberFormat="1" applyFont="1" applyFill="1" applyBorder="1" applyAlignment="1">
      <alignment horizontal="center"/>
      <protection/>
    </xf>
    <xf numFmtId="180" fontId="5" fillId="33" borderId="15" xfId="33" applyNumberFormat="1" applyFont="1" applyFill="1" applyBorder="1" applyAlignment="1">
      <alignment horizontal="center"/>
      <protection/>
    </xf>
    <xf numFmtId="180" fontId="5" fillId="0" borderId="19" xfId="33" applyNumberFormat="1" applyFont="1" applyFill="1" applyBorder="1" applyAlignment="1">
      <alignment horizontal="center"/>
      <protection/>
    </xf>
    <xf numFmtId="180" fontId="5" fillId="0" borderId="21" xfId="33" applyNumberFormat="1" applyFont="1" applyFill="1" applyBorder="1" applyAlignment="1">
      <alignment horizontal="center"/>
      <protection/>
    </xf>
    <xf numFmtId="180" fontId="5" fillId="0" borderId="46" xfId="33" applyNumberFormat="1" applyFont="1" applyFill="1" applyBorder="1" applyAlignment="1">
      <alignment horizontal="center" vertical="center" wrapText="1"/>
      <protection/>
    </xf>
    <xf numFmtId="180" fontId="5" fillId="32" borderId="64" xfId="33" applyNumberFormat="1" applyFont="1" applyFill="1" applyBorder="1" applyAlignment="1">
      <alignment horizontal="center" vertical="center"/>
      <protection/>
    </xf>
    <xf numFmtId="180" fontId="5" fillId="32" borderId="33" xfId="33" applyNumberFormat="1" applyFont="1" applyFill="1" applyBorder="1" applyAlignment="1">
      <alignment horizontal="center" vertical="center"/>
      <protection/>
    </xf>
    <xf numFmtId="180" fontId="5" fillId="32" borderId="65" xfId="33" applyNumberFormat="1" applyFont="1" applyFill="1" applyBorder="1" applyAlignment="1">
      <alignment horizontal="center" vertical="center"/>
      <protection/>
    </xf>
    <xf numFmtId="180" fontId="5" fillId="32" borderId="63" xfId="33" applyNumberFormat="1" applyFont="1" applyFill="1" applyBorder="1" applyAlignment="1">
      <alignment horizontal="center" vertical="center"/>
      <protection/>
    </xf>
    <xf numFmtId="180" fontId="5" fillId="33" borderId="65" xfId="33" applyNumberFormat="1" applyFont="1" applyFill="1" applyBorder="1" applyAlignment="1">
      <alignment horizontal="center" vertical="center"/>
      <protection/>
    </xf>
    <xf numFmtId="180" fontId="5" fillId="33" borderId="64" xfId="33" applyNumberFormat="1" applyFont="1" applyFill="1" applyBorder="1" applyAlignment="1">
      <alignment horizontal="center" vertical="center"/>
      <protection/>
    </xf>
    <xf numFmtId="180" fontId="5" fillId="33" borderId="63" xfId="33" applyNumberFormat="1" applyFont="1" applyFill="1" applyBorder="1" applyAlignment="1">
      <alignment horizontal="center" vertical="center"/>
      <protection/>
    </xf>
    <xf numFmtId="180" fontId="5" fillId="33" borderId="33" xfId="33" applyNumberFormat="1" applyFont="1" applyFill="1" applyBorder="1" applyAlignment="1">
      <alignment horizontal="center" vertical="center"/>
      <protection/>
    </xf>
    <xf numFmtId="180" fontId="5" fillId="0" borderId="22" xfId="33" applyNumberFormat="1" applyFont="1" applyFill="1" applyBorder="1" applyAlignment="1">
      <alignment horizontal="center" vertical="center"/>
      <protection/>
    </xf>
    <xf numFmtId="180" fontId="5" fillId="0" borderId="63" xfId="33" applyNumberFormat="1" applyFont="1" applyFill="1" applyBorder="1" applyAlignment="1">
      <alignment horizontal="center" vertical="center"/>
      <protection/>
    </xf>
    <xf numFmtId="180" fontId="5" fillId="0" borderId="33" xfId="33" applyNumberFormat="1" applyFont="1" applyFill="1" applyBorder="1" applyAlignment="1">
      <alignment horizontal="center" vertical="center"/>
      <protection/>
    </xf>
    <xf numFmtId="180" fontId="11" fillId="37" borderId="61" xfId="0" applyNumberFormat="1" applyFont="1" applyFill="1" applyBorder="1" applyAlignment="1" quotePrefix="1">
      <alignment horizontal="center" vertical="center"/>
    </xf>
    <xf numFmtId="180" fontId="11" fillId="37" borderId="13" xfId="0" applyNumberFormat="1" applyFont="1" applyFill="1" applyBorder="1" applyAlignment="1" quotePrefix="1">
      <alignment horizontal="center" vertical="center"/>
    </xf>
    <xf numFmtId="180" fontId="11" fillId="37" borderId="46" xfId="0" applyNumberFormat="1" applyFont="1" applyFill="1" applyBorder="1" applyAlignment="1" quotePrefix="1">
      <alignment horizontal="center" vertical="center"/>
    </xf>
    <xf numFmtId="180" fontId="11" fillId="37" borderId="12" xfId="0" applyNumberFormat="1" applyFont="1" applyFill="1" applyBorder="1" applyAlignment="1" quotePrefix="1">
      <alignment horizontal="center" vertical="center"/>
    </xf>
    <xf numFmtId="1" fontId="11" fillId="37" borderId="13" xfId="0" applyNumberFormat="1" applyFont="1" applyFill="1" applyBorder="1" applyAlignment="1" quotePrefix="1">
      <alignment horizontal="center" vertical="center"/>
    </xf>
    <xf numFmtId="180" fontId="32" fillId="37" borderId="13" xfId="0" applyNumberFormat="1" applyFont="1" applyFill="1" applyBorder="1" applyAlignment="1" quotePrefix="1">
      <alignment horizontal="center" vertical="center"/>
    </xf>
    <xf numFmtId="180" fontId="11" fillId="37" borderId="14" xfId="0" applyNumberFormat="1" applyFont="1" applyFill="1" applyBorder="1" applyAlignment="1" quotePrefix="1">
      <alignment horizontal="center" vertical="center"/>
    </xf>
    <xf numFmtId="180" fontId="11" fillId="37" borderId="15" xfId="0" applyNumberFormat="1" applyFont="1" applyFill="1" applyBorder="1" applyAlignment="1" quotePrefix="1">
      <alignment horizontal="center" vertical="center"/>
    </xf>
    <xf numFmtId="1" fontId="11" fillId="37" borderId="14" xfId="0" applyNumberFormat="1" applyFont="1" applyFill="1" applyBorder="1" applyAlignment="1" quotePrefix="1">
      <alignment horizontal="center" vertical="center"/>
    </xf>
    <xf numFmtId="180" fontId="5" fillId="37" borderId="19" xfId="33" applyNumberFormat="1" applyFont="1" applyFill="1" applyBorder="1" applyAlignment="1">
      <alignment horizontal="center" vertical="center"/>
      <protection/>
    </xf>
    <xf numFmtId="180" fontId="5" fillId="37" borderId="21" xfId="33" applyNumberFormat="1" applyFont="1" applyFill="1" applyBorder="1" applyAlignment="1">
      <alignment horizontal="center" vertical="center"/>
      <protection/>
    </xf>
    <xf numFmtId="180" fontId="5" fillId="37" borderId="15" xfId="33" applyNumberFormat="1" applyFont="1" applyFill="1" applyBorder="1" applyAlignment="1">
      <alignment horizontal="center" vertical="center"/>
      <protection/>
    </xf>
    <xf numFmtId="180" fontId="74" fillId="0" borderId="16" xfId="33" applyNumberFormat="1" applyFont="1" applyFill="1" applyBorder="1" applyAlignment="1">
      <alignment horizontal="center" vertical="center"/>
      <protection/>
    </xf>
    <xf numFmtId="180" fontId="5" fillId="0" borderId="17" xfId="33" applyNumberFormat="1" applyFont="1" applyFill="1" applyBorder="1" applyAlignment="1">
      <alignment horizontal="left" vertical="center"/>
      <protection/>
    </xf>
    <xf numFmtId="180" fontId="8" fillId="0" borderId="37" xfId="33" applyNumberFormat="1" applyFont="1" applyFill="1" applyBorder="1" applyAlignment="1">
      <alignment horizontal="center" vertical="center"/>
      <protection/>
    </xf>
    <xf numFmtId="180" fontId="8" fillId="0" borderId="31" xfId="33" applyNumberFormat="1" applyFont="1" applyFill="1" applyBorder="1" applyAlignment="1">
      <alignment horizontal="center" vertical="center"/>
      <protection/>
    </xf>
    <xf numFmtId="180" fontId="4" fillId="32" borderId="37" xfId="33" applyNumberFormat="1" applyFont="1" applyFill="1" applyBorder="1" applyAlignment="1">
      <alignment horizontal="center"/>
      <protection/>
    </xf>
    <xf numFmtId="180" fontId="4" fillId="32" borderId="31" xfId="33" applyNumberFormat="1" applyFont="1" applyFill="1" applyBorder="1" applyAlignment="1">
      <alignment horizontal="center"/>
      <protection/>
    </xf>
    <xf numFmtId="180" fontId="4" fillId="35" borderId="10" xfId="33" applyNumberFormat="1" applyFont="1" applyFill="1" applyBorder="1" applyAlignment="1">
      <alignment horizontal="left" vertical="center"/>
      <protection/>
    </xf>
    <xf numFmtId="180" fontId="4" fillId="35" borderId="20" xfId="33" applyNumberFormat="1" applyFont="1" applyFill="1" applyBorder="1" applyAlignment="1">
      <alignment horizontal="left" vertical="center"/>
      <protection/>
    </xf>
    <xf numFmtId="0" fontId="4" fillId="35" borderId="11" xfId="33" applyNumberFormat="1" applyFont="1" applyFill="1" applyBorder="1" applyAlignment="1">
      <alignment horizontal="left" vertical="center"/>
      <protection/>
    </xf>
    <xf numFmtId="180" fontId="4" fillId="35" borderId="11" xfId="33" applyNumberFormat="1" applyFont="1" applyFill="1" applyBorder="1" applyAlignment="1">
      <alignment horizontal="left" vertical="center"/>
      <protection/>
    </xf>
    <xf numFmtId="180" fontId="4" fillId="35" borderId="47" xfId="33" applyNumberFormat="1" applyFont="1" applyFill="1" applyBorder="1" applyAlignment="1">
      <alignment horizontal="left" vertical="center"/>
      <protection/>
    </xf>
    <xf numFmtId="49" fontId="8" fillId="32" borderId="12" xfId="33" applyNumberFormat="1" applyFont="1" applyFill="1" applyBorder="1" applyAlignment="1">
      <alignment vertical="center" wrapText="1"/>
      <protection/>
    </xf>
    <xf numFmtId="180" fontId="4" fillId="0" borderId="21" xfId="33" applyNumberFormat="1" applyFont="1" applyFill="1" applyBorder="1" applyAlignment="1">
      <alignment vertical="center"/>
      <protection/>
    </xf>
    <xf numFmtId="180" fontId="4" fillId="0" borderId="19" xfId="33" applyNumberFormat="1" applyFont="1" applyFill="1" applyBorder="1" applyAlignment="1">
      <alignment vertical="center"/>
      <protection/>
    </xf>
    <xf numFmtId="180" fontId="4" fillId="0" borderId="18" xfId="33" applyNumberFormat="1" applyFont="1" applyFill="1" applyBorder="1" applyAlignment="1">
      <alignment vertical="center"/>
      <protection/>
    </xf>
    <xf numFmtId="49" fontId="8" fillId="32" borderId="15" xfId="33" applyNumberFormat="1" applyFont="1" applyFill="1" applyBorder="1" applyAlignment="1">
      <alignment vertical="center" wrapText="1"/>
      <protection/>
    </xf>
    <xf numFmtId="49" fontId="8" fillId="32" borderId="14" xfId="33" applyNumberFormat="1" applyFont="1" applyFill="1" applyBorder="1" applyAlignment="1">
      <alignment vertical="center"/>
      <protection/>
    </xf>
    <xf numFmtId="49" fontId="8" fillId="32" borderId="15" xfId="33" applyNumberFormat="1" applyFont="1" applyFill="1" applyBorder="1" applyAlignment="1">
      <alignment vertical="center"/>
      <protection/>
    </xf>
    <xf numFmtId="180" fontId="4" fillId="12" borderId="12" xfId="33" applyNumberFormat="1" applyFont="1" applyFill="1" applyBorder="1" applyAlignment="1">
      <alignment horizontal="center" vertical="center" textRotation="90" wrapText="1"/>
      <protection/>
    </xf>
    <xf numFmtId="1" fontId="28" fillId="0" borderId="13" xfId="33" applyNumberFormat="1" applyFont="1" applyFill="1" applyBorder="1" applyAlignment="1">
      <alignment horizontal="left"/>
      <protection/>
    </xf>
    <xf numFmtId="180" fontId="28" fillId="0" borderId="13" xfId="33" applyNumberFormat="1" applyFont="1" applyFill="1" applyBorder="1" applyAlignment="1">
      <alignment horizontal="left"/>
      <protection/>
    </xf>
    <xf numFmtId="180" fontId="28" fillId="0" borderId="46" xfId="33" applyNumberFormat="1" applyFont="1" applyFill="1" applyBorder="1" applyAlignment="1">
      <alignment horizontal="left"/>
      <protection/>
    </xf>
    <xf numFmtId="180" fontId="28" fillId="0" borderId="15" xfId="33" applyNumberFormat="1" applyFont="1" applyFill="1" applyBorder="1" applyAlignment="1">
      <alignment horizontal="left"/>
      <protection/>
    </xf>
    <xf numFmtId="180" fontId="28" fillId="0" borderId="12" xfId="33" applyNumberFormat="1" applyFont="1" applyFill="1" applyBorder="1" applyAlignment="1">
      <alignment horizontal="left"/>
      <protection/>
    </xf>
    <xf numFmtId="180" fontId="28" fillId="0" borderId="19" xfId="33" applyNumberFormat="1" applyFont="1" applyFill="1" applyBorder="1" applyAlignment="1">
      <alignment horizontal="left"/>
      <protection/>
    </xf>
    <xf numFmtId="180" fontId="28" fillId="0" borderId="21" xfId="33" applyNumberFormat="1" applyFont="1" applyFill="1" applyBorder="1" applyAlignment="1">
      <alignment horizontal="left"/>
      <protection/>
    </xf>
    <xf numFmtId="180" fontId="28" fillId="0" borderId="66" xfId="33" applyNumberFormat="1" applyFont="1" applyFill="1" applyBorder="1" applyAlignment="1">
      <alignment horizontal="left"/>
      <protection/>
    </xf>
    <xf numFmtId="180" fontId="3" fillId="0" borderId="58" xfId="33" applyNumberFormat="1" applyFont="1" applyFill="1" applyBorder="1" applyAlignment="1">
      <alignment horizontal="left"/>
      <protection/>
    </xf>
    <xf numFmtId="180" fontId="3" fillId="0" borderId="17" xfId="33" applyNumberFormat="1" applyFont="1" applyFill="1" applyBorder="1" applyAlignment="1">
      <alignment horizontal="left"/>
      <protection/>
    </xf>
    <xf numFmtId="180" fontId="3" fillId="35" borderId="17" xfId="33" applyNumberFormat="1" applyFont="1" applyFill="1" applyBorder="1" applyAlignment="1">
      <alignment horizontal="left"/>
      <protection/>
    </xf>
    <xf numFmtId="180" fontId="3" fillId="38" borderId="37" xfId="33" applyNumberFormat="1" applyFont="1" applyFill="1" applyBorder="1" applyAlignment="1">
      <alignment horizontal="left"/>
      <protection/>
    </xf>
    <xf numFmtId="180" fontId="3" fillId="0" borderId="41" xfId="33" applyNumberFormat="1" applyFont="1" applyFill="1" applyBorder="1" applyAlignment="1">
      <alignment horizontal="left"/>
      <protection/>
    </xf>
    <xf numFmtId="180" fontId="3" fillId="0" borderId="23" xfId="33" applyNumberFormat="1" applyFont="1" applyFill="1" applyBorder="1" applyAlignment="1">
      <alignment horizontal="left"/>
      <protection/>
    </xf>
    <xf numFmtId="180" fontId="3" fillId="0" borderId="25" xfId="33" applyNumberFormat="1" applyFont="1" applyFill="1" applyBorder="1" applyAlignment="1">
      <alignment horizontal="left"/>
      <protection/>
    </xf>
    <xf numFmtId="180" fontId="3" fillId="0" borderId="17" xfId="33" applyNumberFormat="1" applyFont="1" applyFill="1" applyBorder="1" applyAlignment="1">
      <alignment horizontal="left" vertical="center"/>
      <protection/>
    </xf>
    <xf numFmtId="1" fontId="3" fillId="0" borderId="17" xfId="33" applyNumberFormat="1" applyFont="1" applyFill="1" applyBorder="1" applyAlignment="1">
      <alignment horizontal="left"/>
      <protection/>
    </xf>
    <xf numFmtId="180" fontId="3" fillId="0" borderId="37" xfId="33" applyNumberFormat="1" applyFont="1" applyFill="1" applyBorder="1" applyAlignment="1">
      <alignment horizontal="left"/>
      <protection/>
    </xf>
    <xf numFmtId="180" fontId="3" fillId="34" borderId="25" xfId="33" applyNumberFormat="1" applyFont="1" applyFill="1" applyBorder="1" applyAlignment="1">
      <alignment horizontal="left"/>
      <protection/>
    </xf>
    <xf numFmtId="180" fontId="3" fillId="0" borderId="58" xfId="0" applyNumberFormat="1" applyFont="1" applyFill="1" applyBorder="1" applyAlignment="1">
      <alignment horizontal="left"/>
    </xf>
    <xf numFmtId="180" fontId="3" fillId="0" borderId="37" xfId="0" applyNumberFormat="1" applyFont="1" applyFill="1" applyBorder="1" applyAlignment="1">
      <alignment horizontal="left"/>
    </xf>
    <xf numFmtId="180" fontId="3" fillId="0" borderId="10" xfId="0" applyNumberFormat="1" applyFont="1" applyFill="1" applyBorder="1" applyAlignment="1">
      <alignment horizontal="left"/>
    </xf>
    <xf numFmtId="180" fontId="3" fillId="0" borderId="35" xfId="0" applyNumberFormat="1" applyFont="1" applyFill="1" applyBorder="1" applyAlignment="1">
      <alignment horizontal="left"/>
    </xf>
    <xf numFmtId="180" fontId="3" fillId="0" borderId="55" xfId="33" applyNumberFormat="1" applyFont="1" applyFill="1" applyBorder="1" applyAlignment="1">
      <alignment horizontal="left"/>
      <protection/>
    </xf>
    <xf numFmtId="180" fontId="3" fillId="0" borderId="16" xfId="33" applyNumberFormat="1" applyFont="1" applyFill="1" applyBorder="1" applyAlignment="1">
      <alignment horizontal="left"/>
      <protection/>
    </xf>
    <xf numFmtId="180" fontId="3" fillId="0" borderId="38" xfId="33" applyNumberFormat="1" applyFont="1" applyFill="1" applyBorder="1" applyAlignment="1">
      <alignment horizontal="left"/>
      <protection/>
    </xf>
    <xf numFmtId="180" fontId="3" fillId="0" borderId="16" xfId="33" applyNumberFormat="1" applyFont="1" applyFill="1" applyBorder="1" applyAlignment="1">
      <alignment horizontal="left" vertical="center"/>
      <protection/>
    </xf>
    <xf numFmtId="1" fontId="3" fillId="0" borderId="16" xfId="33" applyNumberFormat="1" applyFont="1" applyFill="1" applyBorder="1" applyAlignment="1">
      <alignment horizontal="left"/>
      <protection/>
    </xf>
    <xf numFmtId="180" fontId="3" fillId="0" borderId="55" xfId="0" applyNumberFormat="1" applyFont="1" applyFill="1" applyBorder="1" applyAlignment="1">
      <alignment horizontal="left"/>
    </xf>
    <xf numFmtId="180" fontId="3" fillId="0" borderId="38" xfId="0" applyNumberFormat="1" applyFont="1" applyFill="1" applyBorder="1" applyAlignment="1">
      <alignment horizontal="left"/>
    </xf>
    <xf numFmtId="180" fontId="3" fillId="0" borderId="11" xfId="0" applyNumberFormat="1" applyFont="1" applyFill="1" applyBorder="1" applyAlignment="1">
      <alignment horizontal="left"/>
    </xf>
    <xf numFmtId="180" fontId="3" fillId="35" borderId="16" xfId="33" applyNumberFormat="1" applyFont="1" applyFill="1" applyBorder="1" applyAlignment="1">
      <alignment horizontal="left"/>
      <protection/>
    </xf>
    <xf numFmtId="180" fontId="3" fillId="0" borderId="35" xfId="33" applyNumberFormat="1" applyFont="1" applyFill="1" applyBorder="1" applyAlignment="1">
      <alignment horizontal="left"/>
      <protection/>
    </xf>
    <xf numFmtId="180" fontId="3" fillId="34" borderId="28" xfId="33" applyNumberFormat="1" applyFont="1" applyFill="1" applyBorder="1" applyAlignment="1">
      <alignment horizontal="left"/>
      <protection/>
    </xf>
    <xf numFmtId="180" fontId="3" fillId="0" borderId="56" xfId="33" applyNumberFormat="1" applyFont="1" applyFill="1" applyBorder="1" applyAlignment="1">
      <alignment horizontal="left"/>
      <protection/>
    </xf>
    <xf numFmtId="180" fontId="3" fillId="0" borderId="36" xfId="33" applyNumberFormat="1" applyFont="1" applyFill="1" applyBorder="1" applyAlignment="1">
      <alignment horizontal="left"/>
      <protection/>
    </xf>
    <xf numFmtId="1" fontId="3" fillId="0" borderId="36" xfId="33" applyNumberFormat="1" applyFont="1" applyFill="1" applyBorder="1" applyAlignment="1">
      <alignment horizontal="left"/>
      <protection/>
    </xf>
    <xf numFmtId="180" fontId="3" fillId="0" borderId="31" xfId="33" applyNumberFormat="1" applyFont="1" applyFill="1" applyBorder="1" applyAlignment="1">
      <alignment horizontal="left"/>
      <protection/>
    </xf>
    <xf numFmtId="180" fontId="3" fillId="0" borderId="62" xfId="33" applyNumberFormat="1" applyFont="1" applyFill="1" applyBorder="1" applyAlignment="1">
      <alignment horizontal="left"/>
      <protection/>
    </xf>
    <xf numFmtId="180" fontId="3" fillId="0" borderId="0" xfId="33" applyNumberFormat="1" applyFont="1" applyFill="1" applyBorder="1" applyAlignment="1">
      <alignment horizontal="left"/>
      <protection/>
    </xf>
    <xf numFmtId="180" fontId="3" fillId="0" borderId="67" xfId="0" applyNumberFormat="1" applyFont="1" applyFill="1" applyBorder="1" applyAlignment="1">
      <alignment horizontal="left"/>
    </xf>
    <xf numFmtId="180" fontId="25" fillId="0" borderId="61" xfId="33" applyNumberFormat="1" applyFont="1" applyFill="1" applyBorder="1" applyAlignment="1">
      <alignment horizontal="left"/>
      <protection/>
    </xf>
    <xf numFmtId="180" fontId="25" fillId="0" borderId="13" xfId="33" applyNumberFormat="1" applyFont="1" applyFill="1" applyBorder="1" applyAlignment="1">
      <alignment horizontal="left"/>
      <protection/>
    </xf>
    <xf numFmtId="1" fontId="25" fillId="0" borderId="13" xfId="33" applyNumberFormat="1" applyFont="1" applyFill="1" applyBorder="1" applyAlignment="1">
      <alignment horizontal="left"/>
      <protection/>
    </xf>
    <xf numFmtId="180" fontId="25" fillId="0" borderId="46" xfId="33" applyNumberFormat="1" applyFont="1" applyFill="1" applyBorder="1" applyAlignment="1">
      <alignment horizontal="left"/>
      <protection/>
    </xf>
    <xf numFmtId="180" fontId="25" fillId="0" borderId="15" xfId="33" applyNumberFormat="1" applyFont="1" applyFill="1" applyBorder="1" applyAlignment="1">
      <alignment horizontal="left"/>
      <protection/>
    </xf>
    <xf numFmtId="180" fontId="25" fillId="0" borderId="12" xfId="33" applyNumberFormat="1" applyFont="1" applyFill="1" applyBorder="1" applyAlignment="1">
      <alignment horizontal="left"/>
      <protection/>
    </xf>
    <xf numFmtId="1" fontId="25" fillId="0" borderId="21" xfId="33" applyNumberFormat="1" applyFont="1" applyFill="1" applyBorder="1" applyAlignment="1">
      <alignment horizontal="left"/>
      <protection/>
    </xf>
    <xf numFmtId="180" fontId="3" fillId="0" borderId="41" xfId="0" applyNumberFormat="1" applyFont="1" applyFill="1" applyBorder="1" applyAlignment="1">
      <alignment horizontal="left"/>
    </xf>
    <xf numFmtId="180" fontId="3" fillId="0" borderId="59" xfId="33" applyNumberFormat="1" applyFont="1" applyFill="1" applyBorder="1" applyAlignment="1">
      <alignment horizontal="left"/>
      <protection/>
    </xf>
    <xf numFmtId="180" fontId="3" fillId="0" borderId="53" xfId="33" applyNumberFormat="1" applyFont="1" applyFill="1" applyBorder="1" applyAlignment="1">
      <alignment horizontal="left"/>
      <protection/>
    </xf>
    <xf numFmtId="180" fontId="3" fillId="0" borderId="54" xfId="33" applyNumberFormat="1" applyFont="1" applyFill="1" applyBorder="1" applyAlignment="1">
      <alignment horizontal="left"/>
      <protection/>
    </xf>
    <xf numFmtId="180" fontId="25" fillId="0" borderId="14" xfId="33" applyNumberFormat="1" applyFont="1" applyFill="1" applyBorder="1" applyAlignment="1">
      <alignment horizontal="left"/>
      <protection/>
    </xf>
    <xf numFmtId="180" fontId="25" fillId="0" borderId="21" xfId="33" applyNumberFormat="1" applyFont="1" applyFill="1" applyBorder="1" applyAlignment="1">
      <alignment horizontal="left"/>
      <protection/>
    </xf>
    <xf numFmtId="180" fontId="3" fillId="0" borderId="32" xfId="33" applyNumberFormat="1" applyFont="1" applyFill="1" applyBorder="1" applyAlignment="1">
      <alignment horizontal="left"/>
      <protection/>
    </xf>
    <xf numFmtId="180" fontId="3" fillId="34" borderId="0" xfId="33" applyNumberFormat="1" applyFont="1" applyFill="1" applyBorder="1" applyAlignment="1">
      <alignment horizontal="left"/>
      <protection/>
    </xf>
    <xf numFmtId="180" fontId="25" fillId="0" borderId="64" xfId="33" applyNumberFormat="1" applyFont="1" applyFill="1" applyBorder="1" applyAlignment="1">
      <alignment horizontal="left"/>
      <protection/>
    </xf>
    <xf numFmtId="180" fontId="25" fillId="0" borderId="68" xfId="33" applyNumberFormat="1" applyFont="1" applyFill="1" applyBorder="1" applyAlignment="1">
      <alignment horizontal="left"/>
      <protection/>
    </xf>
    <xf numFmtId="180" fontId="25" fillId="0" borderId="69" xfId="33" applyNumberFormat="1" applyFont="1" applyFill="1" applyBorder="1" applyAlignment="1">
      <alignment horizontal="left"/>
      <protection/>
    </xf>
    <xf numFmtId="180" fontId="25" fillId="0" borderId="70" xfId="33" applyNumberFormat="1" applyFont="1" applyFill="1" applyBorder="1" applyAlignment="1">
      <alignment horizontal="left"/>
      <protection/>
    </xf>
    <xf numFmtId="180" fontId="25" fillId="0" borderId="33" xfId="33" applyNumberFormat="1" applyFont="1" applyFill="1" applyBorder="1" applyAlignment="1">
      <alignment horizontal="left"/>
      <protection/>
    </xf>
    <xf numFmtId="180" fontId="25" fillId="0" borderId="22" xfId="33" applyNumberFormat="1" applyFont="1" applyFill="1" applyBorder="1" applyAlignment="1">
      <alignment horizontal="left"/>
      <protection/>
    </xf>
    <xf numFmtId="180" fontId="25" fillId="0" borderId="63" xfId="33" applyNumberFormat="1" applyFont="1" applyFill="1" applyBorder="1" applyAlignment="1">
      <alignment horizontal="left"/>
      <protection/>
    </xf>
    <xf numFmtId="180" fontId="3" fillId="0" borderId="61" xfId="33" applyNumberFormat="1" applyFont="1" applyFill="1" applyBorder="1" applyAlignment="1">
      <alignment horizontal="center"/>
      <protection/>
    </xf>
    <xf numFmtId="180" fontId="3" fillId="0" borderId="46" xfId="33" applyNumberFormat="1" applyFont="1" applyFill="1" applyBorder="1" applyAlignment="1">
      <alignment horizontal="center"/>
      <protection/>
    </xf>
    <xf numFmtId="180" fontId="25" fillId="0" borderId="51" xfId="33" applyNumberFormat="1" applyFont="1" applyFill="1" applyBorder="1" applyAlignment="1">
      <alignment horizontal="center"/>
      <protection/>
    </xf>
    <xf numFmtId="1" fontId="25" fillId="0" borderId="14" xfId="33" applyNumberFormat="1" applyFont="1" applyFill="1" applyBorder="1" applyAlignment="1">
      <alignment horizontal="left"/>
      <protection/>
    </xf>
    <xf numFmtId="180" fontId="4" fillId="0" borderId="17" xfId="33" applyNumberFormat="1" applyFont="1" applyFill="1" applyBorder="1" applyAlignment="1">
      <alignment horizontal="left" vertical="center"/>
      <protection/>
    </xf>
    <xf numFmtId="1" fontId="3" fillId="0" borderId="60" xfId="33" applyNumberFormat="1" applyFont="1" applyFill="1" applyBorder="1" applyAlignment="1">
      <alignment horizontal="center"/>
      <protection/>
    </xf>
    <xf numFmtId="1" fontId="5" fillId="35" borderId="16" xfId="33" applyNumberFormat="1" applyFont="1" applyFill="1" applyBorder="1" applyAlignment="1">
      <alignment horizontal="left" vertical="center"/>
      <protection/>
    </xf>
    <xf numFmtId="1" fontId="5" fillId="35" borderId="53" xfId="33" applyNumberFormat="1" applyFont="1" applyFill="1" applyBorder="1" applyAlignment="1">
      <alignment horizontal="left" vertical="center"/>
      <protection/>
    </xf>
    <xf numFmtId="180" fontId="5" fillId="0" borderId="16" xfId="33" applyNumberFormat="1" applyFont="1" applyFill="1" applyBorder="1" applyAlignment="1">
      <alignment horizontal="left" vertical="center"/>
      <protection/>
    </xf>
    <xf numFmtId="180" fontId="29" fillId="0" borderId="61" xfId="33" applyNumberFormat="1" applyFont="1" applyFill="1" applyBorder="1" applyAlignment="1">
      <alignment horizontal="left"/>
      <protection/>
    </xf>
    <xf numFmtId="180" fontId="28" fillId="0" borderId="14" xfId="33" applyNumberFormat="1" applyFont="1" applyFill="1" applyBorder="1" applyAlignment="1">
      <alignment horizontal="left"/>
      <protection/>
    </xf>
    <xf numFmtId="1" fontId="28" fillId="0" borderId="14" xfId="33" applyNumberFormat="1" applyFont="1" applyFill="1" applyBorder="1" applyAlignment="1">
      <alignment horizontal="left"/>
      <protection/>
    </xf>
    <xf numFmtId="180" fontId="75" fillId="0" borderId="13" xfId="33" applyNumberFormat="1" applyFont="1" applyFill="1" applyBorder="1" applyAlignment="1">
      <alignment horizontal="left"/>
      <protection/>
    </xf>
    <xf numFmtId="180" fontId="3" fillId="0" borderId="49" xfId="33" applyNumberFormat="1" applyFont="1" applyFill="1" applyBorder="1" applyAlignment="1">
      <alignment horizontal="center"/>
      <protection/>
    </xf>
    <xf numFmtId="180" fontId="4" fillId="0" borderId="23" xfId="33" applyNumberFormat="1" applyFont="1" applyFill="1" applyBorder="1" applyAlignment="1">
      <alignment horizontal="left" vertical="center"/>
      <protection/>
    </xf>
    <xf numFmtId="180" fontId="3" fillId="39" borderId="16" xfId="33" applyNumberFormat="1" applyFont="1" applyFill="1" applyBorder="1" applyAlignment="1">
      <alignment horizontal="center"/>
      <protection/>
    </xf>
    <xf numFmtId="0" fontId="14" fillId="0" borderId="21" xfId="34" applyFont="1" applyBorder="1" applyAlignment="1">
      <alignment horizontal="center" vertical="center"/>
      <protection/>
    </xf>
    <xf numFmtId="0" fontId="14" fillId="0" borderId="19" xfId="34" applyFont="1" applyBorder="1" applyAlignment="1">
      <alignment horizontal="center" vertical="center"/>
      <protection/>
    </xf>
    <xf numFmtId="0" fontId="14" fillId="0" borderId="18" xfId="34" applyFont="1" applyBorder="1" applyAlignment="1">
      <alignment horizontal="center" vertical="center"/>
      <protection/>
    </xf>
    <xf numFmtId="0" fontId="10" fillId="0" borderId="0" xfId="0" applyFont="1" applyAlignment="1">
      <alignment horizontal="center" wrapText="1"/>
    </xf>
    <xf numFmtId="180" fontId="14" fillId="0" borderId="25" xfId="34" applyNumberFormat="1" applyFont="1" applyBorder="1">
      <alignment/>
      <protection/>
    </xf>
    <xf numFmtId="0" fontId="76" fillId="0" borderId="0" xfId="0" applyFont="1" applyFill="1" applyAlignment="1">
      <alignment/>
    </xf>
    <xf numFmtId="0" fontId="10" fillId="0" borderId="71" xfId="34" applyFont="1" applyFill="1" applyBorder="1">
      <alignment/>
      <protection/>
    </xf>
    <xf numFmtId="180" fontId="2" fillId="0" borderId="72" xfId="34" applyNumberFormat="1" applyFont="1" applyFill="1" applyBorder="1">
      <alignment/>
      <protection/>
    </xf>
    <xf numFmtId="180" fontId="25" fillId="0" borderId="25" xfId="33" applyNumberFormat="1" applyFont="1" applyFill="1" applyBorder="1" applyAlignment="1">
      <alignment horizontal="left"/>
      <protection/>
    </xf>
    <xf numFmtId="2" fontId="7" fillId="0" borderId="21" xfId="33" applyNumberFormat="1" applyFont="1" applyFill="1" applyBorder="1" applyAlignment="1">
      <alignment horizontal="left" vertical="center"/>
      <protection/>
    </xf>
    <xf numFmtId="2" fontId="7" fillId="0" borderId="19" xfId="33" applyNumberFormat="1" applyFont="1" applyFill="1" applyBorder="1" applyAlignment="1">
      <alignment horizontal="left" vertical="center"/>
      <protection/>
    </xf>
    <xf numFmtId="2" fontId="7" fillId="0" borderId="18" xfId="33" applyNumberFormat="1" applyFont="1" applyFill="1" applyBorder="1" applyAlignment="1">
      <alignment horizontal="left" vertical="center"/>
      <protection/>
    </xf>
    <xf numFmtId="180" fontId="7" fillId="0" borderId="33" xfId="33" applyNumberFormat="1" applyFont="1" applyFill="1" applyBorder="1" applyAlignment="1">
      <alignment horizontal="left" vertical="center"/>
      <protection/>
    </xf>
    <xf numFmtId="180" fontId="7" fillId="0" borderId="34" xfId="33" applyNumberFormat="1" applyFont="1" applyFill="1" applyBorder="1" applyAlignment="1">
      <alignment horizontal="left" vertical="center"/>
      <protection/>
    </xf>
    <xf numFmtId="180" fontId="7" fillId="0" borderId="22" xfId="33" applyNumberFormat="1" applyFont="1" applyFill="1" applyBorder="1" applyAlignment="1">
      <alignment horizontal="left" vertical="center" wrapText="1"/>
      <protection/>
    </xf>
    <xf numFmtId="180" fontId="7" fillId="0" borderId="73" xfId="33" applyNumberFormat="1" applyFont="1" applyFill="1" applyBorder="1" applyAlignment="1">
      <alignment horizontal="left" vertical="center" wrapText="1"/>
      <protection/>
    </xf>
    <xf numFmtId="180" fontId="7" fillId="0" borderId="21" xfId="33" applyNumberFormat="1" applyFont="1" applyFill="1" applyBorder="1" applyAlignment="1">
      <alignment horizontal="left" vertical="center"/>
      <protection/>
    </xf>
    <xf numFmtId="180" fontId="7" fillId="0" borderId="19" xfId="33" applyNumberFormat="1" applyFont="1" applyFill="1" applyBorder="1" applyAlignment="1">
      <alignment horizontal="left" vertical="center"/>
      <protection/>
    </xf>
    <xf numFmtId="180" fontId="7" fillId="0" borderId="18" xfId="33" applyNumberFormat="1" applyFont="1" applyFill="1" applyBorder="1" applyAlignment="1">
      <alignment horizontal="left" vertical="center"/>
      <protection/>
    </xf>
    <xf numFmtId="180" fontId="7" fillId="0" borderId="72" xfId="33" applyNumberFormat="1" applyFont="1" applyFill="1" applyBorder="1" applyAlignment="1">
      <alignment horizontal="left" vertical="center"/>
      <protection/>
    </xf>
    <xf numFmtId="180" fontId="7" fillId="0" borderId="33" xfId="33" applyNumberFormat="1" applyFont="1" applyFill="1" applyBorder="1" applyAlignment="1">
      <alignment horizontal="center" vertical="center" wrapText="1"/>
      <protection/>
    </xf>
    <xf numFmtId="180" fontId="7" fillId="0" borderId="34" xfId="33" applyNumberFormat="1" applyFont="1" applyFill="1" applyBorder="1" applyAlignment="1">
      <alignment horizontal="center" vertical="center" wrapText="1"/>
      <protection/>
    </xf>
    <xf numFmtId="0" fontId="10" fillId="0" borderId="33" xfId="34" applyFont="1" applyFill="1" applyBorder="1" applyAlignment="1">
      <alignment horizontal="center" vertical="center" wrapText="1"/>
      <protection/>
    </xf>
    <xf numFmtId="0" fontId="10" fillId="0" borderId="34" xfId="34" applyFont="1" applyFill="1" applyBorder="1" applyAlignment="1">
      <alignment horizontal="center" vertical="center" wrapText="1"/>
      <protection/>
    </xf>
    <xf numFmtId="180" fontId="2" fillId="0" borderId="63" xfId="34" applyNumberFormat="1" applyFont="1" applyBorder="1" applyAlignment="1">
      <alignment horizontal="center" vertical="center" wrapText="1"/>
      <protection/>
    </xf>
    <xf numFmtId="180" fontId="2" fillId="0" borderId="50" xfId="34" applyNumberFormat="1" applyFont="1" applyBorder="1" applyAlignment="1">
      <alignment horizontal="center" vertical="center" wrapText="1"/>
      <protection/>
    </xf>
    <xf numFmtId="0" fontId="2" fillId="0" borderId="33" xfId="34" applyFont="1" applyBorder="1" applyAlignment="1">
      <alignment horizontal="center" vertical="center" wrapText="1"/>
      <protection/>
    </xf>
    <xf numFmtId="0" fontId="2" fillId="0" borderId="34" xfId="34" applyFont="1" applyBorder="1" applyAlignment="1">
      <alignment horizontal="center" vertical="center" wrapText="1"/>
      <protection/>
    </xf>
    <xf numFmtId="0" fontId="13" fillId="0" borderId="50" xfId="0" applyFont="1" applyBorder="1" applyAlignment="1">
      <alignment horizontal="center"/>
    </xf>
    <xf numFmtId="0" fontId="13" fillId="0" borderId="72" xfId="0" applyFont="1" applyBorder="1" applyAlignment="1">
      <alignment horizontal="center"/>
    </xf>
    <xf numFmtId="0" fontId="13" fillId="0" borderId="74" xfId="0" applyFont="1" applyBorder="1" applyAlignment="1">
      <alignment horizontal="center"/>
    </xf>
    <xf numFmtId="49" fontId="15" fillId="0" borderId="61" xfId="34" applyNumberFormat="1" applyFont="1" applyBorder="1" applyAlignment="1">
      <alignment horizontal="center"/>
      <protection/>
    </xf>
    <xf numFmtId="49" fontId="15" fillId="0" borderId="13" xfId="34" applyNumberFormat="1" applyFont="1" applyBorder="1" applyAlignment="1">
      <alignment horizontal="center"/>
      <protection/>
    </xf>
    <xf numFmtId="49" fontId="15" fillId="0" borderId="46" xfId="34" applyNumberFormat="1" applyFont="1" applyBorder="1" applyAlignment="1">
      <alignment horizontal="center"/>
      <protection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 wrapText="1"/>
    </xf>
    <xf numFmtId="0" fontId="14" fillId="0" borderId="75" xfId="34" applyFont="1" applyBorder="1" applyAlignment="1">
      <alignment horizontal="center" vertical="center"/>
      <protection/>
    </xf>
    <xf numFmtId="0" fontId="14" fillId="0" borderId="76" xfId="34" applyFont="1" applyBorder="1" applyAlignment="1">
      <alignment horizontal="center" vertical="center"/>
      <protection/>
    </xf>
    <xf numFmtId="0" fontId="14" fillId="0" borderId="77" xfId="34" applyFont="1" applyBorder="1" applyAlignment="1">
      <alignment horizontal="center" vertical="center"/>
      <protection/>
    </xf>
    <xf numFmtId="0" fontId="14" fillId="0" borderId="78" xfId="34" applyFont="1" applyBorder="1" applyAlignment="1">
      <alignment horizontal="center" vertical="center"/>
      <protection/>
    </xf>
    <xf numFmtId="0" fontId="14" fillId="0" borderId="43" xfId="34" applyFont="1" applyBorder="1" applyAlignment="1">
      <alignment horizontal="center" vertical="center"/>
      <protection/>
    </xf>
    <xf numFmtId="0" fontId="14" fillId="0" borderId="79" xfId="34" applyFont="1" applyBorder="1" applyAlignment="1">
      <alignment horizontal="center" vertical="center"/>
      <protection/>
    </xf>
    <xf numFmtId="0" fontId="2" fillId="0" borderId="63" xfId="34" applyFont="1" applyBorder="1" applyAlignment="1">
      <alignment horizontal="center" vertical="center" wrapText="1"/>
      <protection/>
    </xf>
    <xf numFmtId="0" fontId="2" fillId="0" borderId="50" xfId="34" applyFont="1" applyBorder="1" applyAlignment="1">
      <alignment horizontal="center" vertical="center" wrapText="1"/>
      <protection/>
    </xf>
    <xf numFmtId="0" fontId="2" fillId="0" borderId="65" xfId="0" applyFont="1" applyBorder="1" applyAlignment="1">
      <alignment horizontal="center" vertical="center" wrapText="1"/>
    </xf>
    <xf numFmtId="0" fontId="2" fillId="0" borderId="80" xfId="0" applyFont="1" applyBorder="1" applyAlignment="1">
      <alignment horizontal="center" vertical="center" wrapText="1"/>
    </xf>
    <xf numFmtId="180" fontId="2" fillId="0" borderId="30" xfId="34" applyNumberFormat="1" applyFont="1" applyBorder="1" applyAlignment="1">
      <alignment horizontal="center" vertical="center" wrapText="1"/>
      <protection/>
    </xf>
    <xf numFmtId="180" fontId="2" fillId="0" borderId="42" xfId="34" applyNumberFormat="1" applyFont="1" applyBorder="1" applyAlignment="1">
      <alignment horizontal="center" vertical="center" wrapText="1"/>
      <protection/>
    </xf>
    <xf numFmtId="180" fontId="2" fillId="0" borderId="33" xfId="34" applyNumberFormat="1" applyFont="1" applyBorder="1" applyAlignment="1">
      <alignment horizontal="center" vertical="center" wrapText="1"/>
      <protection/>
    </xf>
    <xf numFmtId="180" fontId="2" fillId="0" borderId="34" xfId="34" applyNumberFormat="1" applyFont="1" applyBorder="1" applyAlignment="1">
      <alignment horizontal="center" vertical="center" wrapText="1"/>
      <protection/>
    </xf>
    <xf numFmtId="180" fontId="2" fillId="0" borderId="12" xfId="34" applyNumberFormat="1" applyFont="1" applyFill="1" applyBorder="1" applyAlignment="1">
      <alignment horizontal="center" vertical="center"/>
      <protection/>
    </xf>
    <xf numFmtId="180" fontId="2" fillId="0" borderId="14" xfId="34" applyNumberFormat="1" applyFont="1" applyFill="1" applyBorder="1" applyAlignment="1">
      <alignment horizontal="center" vertical="center"/>
      <protection/>
    </xf>
    <xf numFmtId="49" fontId="2" fillId="0" borderId="11" xfId="34" applyNumberFormat="1" applyFont="1" applyBorder="1" applyAlignment="1">
      <alignment wrapText="1"/>
      <protection/>
    </xf>
    <xf numFmtId="49" fontId="2" fillId="0" borderId="28" xfId="34" applyNumberFormat="1" applyFont="1" applyBorder="1" applyAlignment="1">
      <alignment wrapText="1"/>
      <protection/>
    </xf>
    <xf numFmtId="49" fontId="2" fillId="0" borderId="27" xfId="34" applyNumberFormat="1" applyFont="1" applyBorder="1" applyAlignment="1">
      <alignment wrapText="1"/>
      <protection/>
    </xf>
    <xf numFmtId="0" fontId="2" fillId="0" borderId="11" xfId="34" applyFont="1" applyBorder="1" applyAlignment="1">
      <alignment wrapText="1"/>
      <protection/>
    </xf>
    <xf numFmtId="0" fontId="2" fillId="0" borderId="28" xfId="34" applyFont="1" applyBorder="1" applyAlignment="1">
      <alignment wrapText="1"/>
      <protection/>
    </xf>
    <xf numFmtId="0" fontId="2" fillId="0" borderId="27" xfId="34" applyFont="1" applyBorder="1" applyAlignment="1">
      <alignment wrapText="1"/>
      <protection/>
    </xf>
    <xf numFmtId="0" fontId="2" fillId="0" borderId="55" xfId="34" applyFont="1" applyBorder="1" applyAlignment="1">
      <alignment/>
      <protection/>
    </xf>
    <xf numFmtId="0" fontId="2" fillId="0" borderId="16" xfId="34" applyFont="1" applyBorder="1" applyAlignment="1">
      <alignment/>
      <protection/>
    </xf>
    <xf numFmtId="0" fontId="2" fillId="0" borderId="35" xfId="34" applyFont="1" applyBorder="1" applyAlignment="1">
      <alignment/>
      <protection/>
    </xf>
    <xf numFmtId="0" fontId="2" fillId="0" borderId="11" xfId="34" applyFont="1" applyBorder="1" applyAlignment="1">
      <alignment/>
      <protection/>
    </xf>
    <xf numFmtId="0" fontId="2" fillId="0" borderId="28" xfId="34" applyFont="1" applyBorder="1" applyAlignment="1">
      <alignment/>
      <protection/>
    </xf>
    <xf numFmtId="0" fontId="2" fillId="0" borderId="27" xfId="34" applyFont="1" applyBorder="1" applyAlignment="1">
      <alignment/>
      <protection/>
    </xf>
    <xf numFmtId="49" fontId="2" fillId="0" borderId="11" xfId="34" applyNumberFormat="1" applyFont="1" applyBorder="1" applyAlignment="1">
      <alignment horizontal="left" wrapText="1"/>
      <protection/>
    </xf>
    <xf numFmtId="49" fontId="2" fillId="0" borderId="28" xfId="34" applyNumberFormat="1" applyFont="1" applyBorder="1" applyAlignment="1">
      <alignment horizontal="left" wrapText="1"/>
      <protection/>
    </xf>
    <xf numFmtId="49" fontId="2" fillId="0" borderId="27" xfId="34" applyNumberFormat="1" applyFont="1" applyBorder="1" applyAlignment="1">
      <alignment horizontal="left" wrapText="1"/>
      <protection/>
    </xf>
    <xf numFmtId="0" fontId="14" fillId="0" borderId="21" xfId="34" applyFont="1" applyBorder="1" applyAlignment="1">
      <alignment horizontal="center" vertical="center"/>
      <protection/>
    </xf>
    <xf numFmtId="0" fontId="14" fillId="0" borderId="19" xfId="34" applyFont="1" applyBorder="1" applyAlignment="1">
      <alignment horizontal="center" vertical="center"/>
      <protection/>
    </xf>
    <xf numFmtId="0" fontId="14" fillId="0" borderId="18" xfId="34" applyFont="1" applyBorder="1" applyAlignment="1">
      <alignment horizontal="center" vertical="center"/>
      <protection/>
    </xf>
    <xf numFmtId="49" fontId="16" fillId="0" borderId="21" xfId="34" applyNumberFormat="1" applyFont="1" applyBorder="1" applyAlignment="1">
      <alignment horizontal="center" wrapText="1"/>
      <protection/>
    </xf>
    <xf numFmtId="49" fontId="16" fillId="0" borderId="19" xfId="34" applyNumberFormat="1" applyFont="1" applyBorder="1" applyAlignment="1">
      <alignment horizontal="center" wrapText="1"/>
      <protection/>
    </xf>
    <xf numFmtId="49" fontId="16" fillId="0" borderId="18" xfId="34" applyNumberFormat="1" applyFont="1" applyBorder="1" applyAlignment="1">
      <alignment horizontal="center" wrapText="1"/>
      <protection/>
    </xf>
    <xf numFmtId="49" fontId="2" fillId="0" borderId="58" xfId="34" applyNumberFormat="1" applyFont="1" applyBorder="1" applyAlignment="1">
      <alignment wrapText="1"/>
      <protection/>
    </xf>
    <xf numFmtId="49" fontId="2" fillId="0" borderId="17" xfId="34" applyNumberFormat="1" applyFont="1" applyBorder="1" applyAlignment="1">
      <alignment wrapText="1"/>
      <protection/>
    </xf>
    <xf numFmtId="49" fontId="2" fillId="0" borderId="41" xfId="34" applyNumberFormat="1" applyFont="1" applyBorder="1" applyAlignment="1">
      <alignment wrapText="1"/>
      <protection/>
    </xf>
    <xf numFmtId="49" fontId="14" fillId="0" borderId="61" xfId="34" applyNumberFormat="1" applyFont="1" applyBorder="1" applyAlignment="1">
      <alignment horizontal="center"/>
      <protection/>
    </xf>
    <xf numFmtId="49" fontId="14" fillId="0" borderId="13" xfId="34" applyNumberFormat="1" applyFont="1" applyBorder="1" applyAlignment="1">
      <alignment horizontal="center"/>
      <protection/>
    </xf>
    <xf numFmtId="0" fontId="2" fillId="0" borderId="20" xfId="34" applyFont="1" applyBorder="1" applyAlignment="1">
      <alignment/>
      <protection/>
    </xf>
    <xf numFmtId="0" fontId="2" fillId="0" borderId="0" xfId="34" applyFont="1" applyBorder="1" applyAlignment="1">
      <alignment/>
      <protection/>
    </xf>
    <xf numFmtId="0" fontId="16" fillId="0" borderId="61" xfId="34" applyFont="1" applyBorder="1" applyAlignment="1">
      <alignment horizontal="left"/>
      <protection/>
    </xf>
    <xf numFmtId="0" fontId="16" fillId="0" borderId="13" xfId="34" applyFont="1" applyBorder="1" applyAlignment="1">
      <alignment horizontal="left"/>
      <protection/>
    </xf>
    <xf numFmtId="0" fontId="16" fillId="0" borderId="46" xfId="34" applyFont="1" applyBorder="1" applyAlignment="1">
      <alignment horizontal="left"/>
      <protection/>
    </xf>
    <xf numFmtId="0" fontId="6" fillId="0" borderId="11" xfId="34" applyFont="1" applyBorder="1" applyAlignment="1">
      <alignment horizontal="left"/>
      <protection/>
    </xf>
    <xf numFmtId="0" fontId="6" fillId="0" borderId="28" xfId="34" applyFont="1" applyBorder="1" applyAlignment="1">
      <alignment horizontal="left"/>
      <protection/>
    </xf>
    <xf numFmtId="0" fontId="6" fillId="0" borderId="27" xfId="34" applyFont="1" applyBorder="1" applyAlignment="1">
      <alignment horizontal="left"/>
      <protection/>
    </xf>
    <xf numFmtId="0" fontId="6" fillId="0" borderId="10" xfId="34" applyFont="1" applyBorder="1" applyAlignment="1">
      <alignment horizontal="left"/>
      <protection/>
    </xf>
    <xf numFmtId="0" fontId="6" fillId="0" borderId="25" xfId="34" applyFont="1" applyBorder="1" applyAlignment="1">
      <alignment horizontal="left"/>
      <protection/>
    </xf>
    <xf numFmtId="0" fontId="6" fillId="0" borderId="24" xfId="34" applyFont="1" applyBorder="1" applyAlignment="1">
      <alignment horizontal="left"/>
      <protection/>
    </xf>
    <xf numFmtId="49" fontId="2" fillId="0" borderId="55" xfId="34" applyNumberFormat="1" applyFont="1" applyBorder="1" applyAlignment="1">
      <alignment wrapText="1"/>
      <protection/>
    </xf>
    <xf numFmtId="49" fontId="2" fillId="0" borderId="16" xfId="34" applyNumberFormat="1" applyFont="1" applyBorder="1" applyAlignment="1">
      <alignment wrapText="1"/>
      <protection/>
    </xf>
    <xf numFmtId="49" fontId="2" fillId="0" borderId="35" xfId="34" applyNumberFormat="1" applyFont="1" applyBorder="1" applyAlignment="1">
      <alignment wrapText="1"/>
      <protection/>
    </xf>
    <xf numFmtId="0" fontId="6" fillId="0" borderId="45" xfId="34" applyFont="1" applyBorder="1" applyAlignment="1">
      <alignment horizontal="left"/>
      <protection/>
    </xf>
    <xf numFmtId="0" fontId="6" fillId="0" borderId="29" xfId="34" applyFont="1" applyBorder="1" applyAlignment="1">
      <alignment horizontal="left"/>
      <protection/>
    </xf>
    <xf numFmtId="0" fontId="6" fillId="0" borderId="48" xfId="34" applyFont="1" applyBorder="1" applyAlignment="1">
      <alignment horizontal="left"/>
      <protection/>
    </xf>
    <xf numFmtId="180" fontId="31" fillId="34" borderId="0" xfId="33" applyNumberFormat="1" applyFont="1" applyFill="1" applyBorder="1" applyAlignment="1">
      <alignment horizontal="left"/>
      <protection/>
    </xf>
    <xf numFmtId="180" fontId="5" fillId="0" borderId="33" xfId="0" applyNumberFormat="1" applyFont="1" applyFill="1" applyBorder="1" applyAlignment="1">
      <alignment horizontal="center" vertical="center" wrapText="1"/>
    </xf>
    <xf numFmtId="180" fontId="5" fillId="0" borderId="34" xfId="0" applyNumberFormat="1" applyFont="1" applyFill="1" applyBorder="1" applyAlignment="1">
      <alignment horizontal="center" vertical="center" wrapText="1"/>
    </xf>
    <xf numFmtId="2" fontId="7" fillId="0" borderId="21" xfId="33" applyNumberFormat="1" applyFont="1" applyFill="1" applyBorder="1" applyAlignment="1">
      <alignment horizontal="center"/>
      <protection/>
    </xf>
    <xf numFmtId="2" fontId="7" fillId="0" borderId="19" xfId="33" applyNumberFormat="1" applyFont="1" applyFill="1" applyBorder="1" applyAlignment="1">
      <alignment horizontal="center"/>
      <protection/>
    </xf>
    <xf numFmtId="2" fontId="7" fillId="0" borderId="18" xfId="33" applyNumberFormat="1" applyFont="1" applyFill="1" applyBorder="1" applyAlignment="1">
      <alignment horizontal="center"/>
      <protection/>
    </xf>
    <xf numFmtId="180" fontId="7" fillId="0" borderId="0" xfId="33" applyNumberFormat="1" applyFont="1" applyFill="1" applyBorder="1" applyAlignment="1">
      <alignment horizontal="left"/>
      <protection/>
    </xf>
    <xf numFmtId="180" fontId="7" fillId="0" borderId="63" xfId="33" applyNumberFormat="1" applyFont="1" applyFill="1" applyBorder="1" applyAlignment="1">
      <alignment horizontal="center"/>
      <protection/>
    </xf>
    <xf numFmtId="180" fontId="7" fillId="0" borderId="50" xfId="33" applyNumberFormat="1" applyFont="1" applyFill="1" applyBorder="1" applyAlignment="1">
      <alignment horizontal="center"/>
      <protection/>
    </xf>
    <xf numFmtId="180" fontId="7" fillId="0" borderId="19" xfId="33" applyNumberFormat="1" applyFont="1" applyFill="1" applyBorder="1" applyAlignment="1">
      <alignment horizontal="center"/>
      <protection/>
    </xf>
    <xf numFmtId="180" fontId="7" fillId="0" borderId="18" xfId="33" applyNumberFormat="1" applyFont="1" applyFill="1" applyBorder="1" applyAlignment="1">
      <alignment horizontal="center"/>
      <protection/>
    </xf>
    <xf numFmtId="180" fontId="7" fillId="0" borderId="21" xfId="0" applyNumberFormat="1" applyFont="1" applyFill="1" applyBorder="1" applyAlignment="1">
      <alignment horizontal="center"/>
    </xf>
    <xf numFmtId="180" fontId="7" fillId="0" borderId="19" xfId="0" applyNumberFormat="1" applyFont="1" applyFill="1" applyBorder="1" applyAlignment="1">
      <alignment horizontal="center"/>
    </xf>
    <xf numFmtId="180" fontId="4" fillId="0" borderId="63" xfId="33" applyNumberFormat="1" applyFont="1" applyFill="1" applyBorder="1" applyAlignment="1">
      <alignment horizontal="center"/>
      <protection/>
    </xf>
    <xf numFmtId="180" fontId="4" fillId="0" borderId="22" xfId="33" applyNumberFormat="1" applyFont="1" applyFill="1" applyBorder="1" applyAlignment="1">
      <alignment horizontal="center"/>
      <protection/>
    </xf>
    <xf numFmtId="180" fontId="4" fillId="0" borderId="73" xfId="33" applyNumberFormat="1" applyFont="1" applyFill="1" applyBorder="1" applyAlignment="1">
      <alignment horizontal="center"/>
      <protection/>
    </xf>
    <xf numFmtId="49" fontId="2" fillId="0" borderId="11" xfId="34" applyNumberFormat="1" applyFont="1" applyFill="1" applyBorder="1" applyAlignment="1">
      <alignment horizontal="left" wrapText="1"/>
      <protection/>
    </xf>
    <xf numFmtId="49" fontId="2" fillId="0" borderId="28" xfId="34" applyNumberFormat="1" applyFont="1" applyFill="1" applyBorder="1" applyAlignment="1">
      <alignment horizontal="left" wrapText="1"/>
      <protection/>
    </xf>
    <xf numFmtId="49" fontId="2" fillId="0" borderId="27" xfId="34" applyNumberFormat="1" applyFont="1" applyFill="1" applyBorder="1" applyAlignment="1">
      <alignment horizontal="left" wrapText="1"/>
      <protection/>
    </xf>
    <xf numFmtId="0" fontId="2" fillId="0" borderId="11" xfId="34" applyFont="1" applyFill="1" applyBorder="1" applyAlignment="1">
      <alignment horizontal="left"/>
      <protection/>
    </xf>
    <xf numFmtId="0" fontId="2" fillId="0" borderId="28" xfId="34" applyFont="1" applyFill="1" applyBorder="1" applyAlignment="1">
      <alignment horizontal="left"/>
      <protection/>
    </xf>
    <xf numFmtId="0" fontId="2" fillId="0" borderId="27" xfId="34" applyFont="1" applyFill="1" applyBorder="1" applyAlignment="1">
      <alignment horizontal="left"/>
      <protection/>
    </xf>
    <xf numFmtId="0" fontId="10" fillId="0" borderId="73" xfId="34" applyFont="1" applyFill="1" applyBorder="1" applyAlignment="1">
      <alignment horizontal="center" wrapText="1"/>
      <protection/>
    </xf>
    <xf numFmtId="0" fontId="10" fillId="0" borderId="74" xfId="34" applyFont="1" applyFill="1" applyBorder="1" applyAlignment="1">
      <alignment horizontal="center" wrapText="1"/>
      <protection/>
    </xf>
    <xf numFmtId="0" fontId="2" fillId="0" borderId="10" xfId="34" applyFont="1" applyFill="1" applyBorder="1" applyAlignment="1">
      <alignment horizontal="left"/>
      <protection/>
    </xf>
    <xf numFmtId="0" fontId="2" fillId="0" borderId="25" xfId="34" applyFont="1" applyFill="1" applyBorder="1" applyAlignment="1">
      <alignment horizontal="left"/>
      <protection/>
    </xf>
    <xf numFmtId="0" fontId="2" fillId="0" borderId="24" xfId="34" applyFont="1" applyFill="1" applyBorder="1" applyAlignment="1">
      <alignment horizontal="left"/>
      <protection/>
    </xf>
    <xf numFmtId="0" fontId="20" fillId="0" borderId="61" xfId="34" applyFont="1" applyFill="1" applyBorder="1" applyAlignment="1">
      <alignment horizontal="left"/>
      <protection/>
    </xf>
    <xf numFmtId="0" fontId="20" fillId="0" borderId="13" xfId="34" applyFont="1" applyFill="1" applyBorder="1" applyAlignment="1">
      <alignment horizontal="left"/>
      <protection/>
    </xf>
    <xf numFmtId="0" fontId="20" fillId="0" borderId="46" xfId="34" applyFont="1" applyFill="1" applyBorder="1" applyAlignment="1">
      <alignment horizontal="left"/>
      <protection/>
    </xf>
    <xf numFmtId="49" fontId="2" fillId="0" borderId="55" xfId="34" applyNumberFormat="1" applyFont="1" applyFill="1" applyBorder="1" applyAlignment="1">
      <alignment horizontal="left" wrapText="1"/>
      <protection/>
    </xf>
    <xf numFmtId="49" fontId="2" fillId="0" borderId="16" xfId="34" applyNumberFormat="1" applyFont="1" applyFill="1" applyBorder="1" applyAlignment="1">
      <alignment horizontal="left" wrapText="1"/>
      <protection/>
    </xf>
    <xf numFmtId="49" fontId="2" fillId="0" borderId="35" xfId="34" applyNumberFormat="1" applyFont="1" applyFill="1" applyBorder="1" applyAlignment="1">
      <alignment horizontal="left" wrapText="1"/>
      <protection/>
    </xf>
    <xf numFmtId="0" fontId="2" fillId="0" borderId="55" xfId="34" applyFont="1" applyFill="1" applyBorder="1" applyAlignment="1">
      <alignment horizontal="left"/>
      <protection/>
    </xf>
    <xf numFmtId="0" fontId="2" fillId="0" borderId="16" xfId="34" applyFont="1" applyFill="1" applyBorder="1" applyAlignment="1">
      <alignment horizontal="left"/>
      <protection/>
    </xf>
    <xf numFmtId="0" fontId="2" fillId="0" borderId="35" xfId="34" applyFont="1" applyFill="1" applyBorder="1" applyAlignment="1">
      <alignment horizontal="left"/>
      <protection/>
    </xf>
    <xf numFmtId="0" fontId="13" fillId="0" borderId="0" xfId="0" applyFont="1" applyFill="1" applyAlignment="1">
      <alignment horizontal="center"/>
    </xf>
    <xf numFmtId="0" fontId="14" fillId="0" borderId="75" xfId="34" applyFont="1" applyFill="1" applyBorder="1" applyAlignment="1">
      <alignment horizontal="center" vertical="center"/>
      <protection/>
    </xf>
    <xf numFmtId="0" fontId="14" fillId="0" borderId="76" xfId="34" applyFont="1" applyFill="1" applyBorder="1" applyAlignment="1">
      <alignment horizontal="center" vertical="center"/>
      <protection/>
    </xf>
    <xf numFmtId="0" fontId="14" fillId="0" borderId="77" xfId="34" applyFont="1" applyFill="1" applyBorder="1" applyAlignment="1">
      <alignment horizontal="center" vertical="center"/>
      <protection/>
    </xf>
    <xf numFmtId="0" fontId="14" fillId="0" borderId="78" xfId="34" applyFont="1" applyFill="1" applyBorder="1" applyAlignment="1">
      <alignment horizontal="center" vertical="center"/>
      <protection/>
    </xf>
    <xf numFmtId="0" fontId="14" fillId="0" borderId="43" xfId="34" applyFont="1" applyFill="1" applyBorder="1" applyAlignment="1">
      <alignment horizontal="center" vertical="center"/>
      <protection/>
    </xf>
    <xf numFmtId="0" fontId="14" fillId="0" borderId="79" xfId="34" applyFont="1" applyFill="1" applyBorder="1" applyAlignment="1">
      <alignment horizontal="center" vertical="center"/>
      <protection/>
    </xf>
    <xf numFmtId="0" fontId="2" fillId="0" borderId="33" xfId="34" applyFont="1" applyFill="1" applyBorder="1" applyAlignment="1">
      <alignment horizontal="center" vertical="center" wrapText="1"/>
      <protection/>
    </xf>
    <xf numFmtId="0" fontId="2" fillId="0" borderId="34" xfId="34" applyFont="1" applyFill="1" applyBorder="1" applyAlignment="1">
      <alignment horizontal="center" vertical="center" wrapText="1"/>
      <protection/>
    </xf>
    <xf numFmtId="180" fontId="2" fillId="0" borderId="30" xfId="34" applyNumberFormat="1" applyFont="1" applyFill="1" applyBorder="1" applyAlignment="1">
      <alignment horizontal="center" vertical="center" wrapText="1"/>
      <protection/>
    </xf>
    <xf numFmtId="180" fontId="2" fillId="0" borderId="42" xfId="34" applyNumberFormat="1" applyFont="1" applyFill="1" applyBorder="1" applyAlignment="1">
      <alignment horizontal="center" vertical="center" wrapText="1"/>
      <protection/>
    </xf>
    <xf numFmtId="180" fontId="2" fillId="0" borderId="63" xfId="34" applyNumberFormat="1" applyFont="1" applyFill="1" applyBorder="1" applyAlignment="1">
      <alignment horizontal="center" vertical="center" wrapText="1"/>
      <protection/>
    </xf>
    <xf numFmtId="180" fontId="2" fillId="0" borderId="50" xfId="34" applyNumberFormat="1" applyFont="1" applyFill="1" applyBorder="1" applyAlignment="1">
      <alignment horizontal="center" vertical="center" wrapText="1"/>
      <protection/>
    </xf>
    <xf numFmtId="49" fontId="15" fillId="0" borderId="11" xfId="34" applyNumberFormat="1" applyFont="1" applyFill="1" applyBorder="1" applyAlignment="1">
      <alignment horizontal="center"/>
      <protection/>
    </xf>
    <xf numFmtId="49" fontId="15" fillId="0" borderId="28" xfId="34" applyNumberFormat="1" applyFont="1" applyFill="1" applyBorder="1" applyAlignment="1">
      <alignment horizontal="center"/>
      <protection/>
    </xf>
    <xf numFmtId="49" fontId="15" fillId="0" borderId="27" xfId="34" applyNumberFormat="1" applyFont="1" applyFill="1" applyBorder="1" applyAlignment="1">
      <alignment horizontal="center"/>
      <protection/>
    </xf>
    <xf numFmtId="180" fontId="2" fillId="0" borderId="33" xfId="34" applyNumberFormat="1" applyFont="1" applyFill="1" applyBorder="1" applyAlignment="1">
      <alignment horizontal="center" vertical="center" wrapText="1"/>
      <protection/>
    </xf>
    <xf numFmtId="180" fontId="2" fillId="0" borderId="34" xfId="34" applyNumberFormat="1" applyFont="1" applyFill="1" applyBorder="1" applyAlignment="1">
      <alignment horizontal="center" vertical="center" wrapText="1"/>
      <protection/>
    </xf>
    <xf numFmtId="49" fontId="22" fillId="0" borderId="75" xfId="34" applyNumberFormat="1" applyFont="1" applyFill="1" applyBorder="1" applyAlignment="1">
      <alignment horizontal="center"/>
      <protection/>
    </xf>
    <xf numFmtId="49" fontId="22" fillId="0" borderId="76" xfId="34" applyNumberFormat="1" applyFont="1" applyFill="1" applyBorder="1" applyAlignment="1">
      <alignment horizontal="center"/>
      <protection/>
    </xf>
    <xf numFmtId="49" fontId="22" fillId="0" borderId="77" xfId="34" applyNumberFormat="1" applyFont="1" applyFill="1" applyBorder="1" applyAlignment="1">
      <alignment horizontal="center"/>
      <protection/>
    </xf>
    <xf numFmtId="0" fontId="2" fillId="0" borderId="78" xfId="34" applyFont="1" applyFill="1" applyBorder="1" applyAlignment="1">
      <alignment horizontal="left"/>
      <protection/>
    </xf>
    <xf numFmtId="0" fontId="2" fillId="0" borderId="43" xfId="34" applyFont="1" applyFill="1" applyBorder="1" applyAlignment="1">
      <alignment horizontal="left"/>
      <protection/>
    </xf>
    <xf numFmtId="0" fontId="19" fillId="0" borderId="21" xfId="34" applyFont="1" applyFill="1" applyBorder="1" applyAlignment="1">
      <alignment horizontal="left"/>
      <protection/>
    </xf>
    <xf numFmtId="0" fontId="19" fillId="0" borderId="19" xfId="34" applyFont="1" applyFill="1" applyBorder="1" applyAlignment="1">
      <alignment horizontal="left"/>
      <protection/>
    </xf>
    <xf numFmtId="0" fontId="19" fillId="0" borderId="18" xfId="34" applyFont="1" applyFill="1" applyBorder="1" applyAlignment="1">
      <alignment horizontal="left"/>
      <protection/>
    </xf>
    <xf numFmtId="0" fontId="2" fillId="0" borderId="20" xfId="34" applyFont="1" applyFill="1" applyBorder="1" applyAlignment="1">
      <alignment horizontal="left"/>
      <protection/>
    </xf>
    <xf numFmtId="0" fontId="2" fillId="0" borderId="0" xfId="34" applyFont="1" applyFill="1" applyBorder="1" applyAlignment="1">
      <alignment horizontal="left"/>
      <protection/>
    </xf>
    <xf numFmtId="0" fontId="2" fillId="0" borderId="71" xfId="34" applyFont="1" applyFill="1" applyBorder="1" applyAlignment="1">
      <alignment horizontal="left"/>
      <protection/>
    </xf>
    <xf numFmtId="49" fontId="2" fillId="0" borderId="56" xfId="34" applyNumberFormat="1" applyFont="1" applyFill="1" applyBorder="1" applyAlignment="1">
      <alignment horizontal="left"/>
      <protection/>
    </xf>
    <xf numFmtId="49" fontId="2" fillId="0" borderId="36" xfId="34" applyNumberFormat="1" applyFont="1" applyFill="1" applyBorder="1" applyAlignment="1">
      <alignment horizontal="left"/>
      <protection/>
    </xf>
    <xf numFmtId="49" fontId="2" fillId="0" borderId="62" xfId="34" applyNumberFormat="1" applyFont="1" applyFill="1" applyBorder="1" applyAlignment="1">
      <alignment horizontal="left"/>
      <protection/>
    </xf>
    <xf numFmtId="0" fontId="10" fillId="0" borderId="0" xfId="0" applyFont="1" applyFill="1" applyAlignment="1">
      <alignment horizontal="center" vertical="center" wrapText="1"/>
    </xf>
    <xf numFmtId="0" fontId="2" fillId="0" borderId="11" xfId="34" applyFont="1" applyFill="1" applyBorder="1" applyAlignment="1">
      <alignment horizontal="left" wrapText="1"/>
      <protection/>
    </xf>
    <xf numFmtId="0" fontId="2" fillId="0" borderId="28" xfId="34" applyFont="1" applyFill="1" applyBorder="1" applyAlignment="1">
      <alignment horizontal="left" wrapText="1"/>
      <protection/>
    </xf>
    <xf numFmtId="0" fontId="2" fillId="0" borderId="27" xfId="34" applyFont="1" applyFill="1" applyBorder="1" applyAlignment="1">
      <alignment horizontal="left" wrapText="1"/>
      <protection/>
    </xf>
    <xf numFmtId="0" fontId="2" fillId="0" borderId="68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49" fontId="20" fillId="0" borderId="11" xfId="34" applyNumberFormat="1" applyFont="1" applyFill="1" applyBorder="1" applyAlignment="1">
      <alignment horizontal="center" wrapText="1"/>
      <protection/>
    </xf>
    <xf numFmtId="49" fontId="20" fillId="0" borderId="28" xfId="34" applyNumberFormat="1" applyFont="1" applyFill="1" applyBorder="1" applyAlignment="1">
      <alignment horizontal="center" wrapText="1"/>
      <protection/>
    </xf>
    <xf numFmtId="49" fontId="20" fillId="0" borderId="27" xfId="34" applyNumberFormat="1" applyFont="1" applyFill="1" applyBorder="1" applyAlignment="1">
      <alignment horizontal="center" wrapText="1"/>
      <protection/>
    </xf>
    <xf numFmtId="0" fontId="10" fillId="0" borderId="0" xfId="34" applyFont="1" applyBorder="1" applyAlignment="1">
      <alignment/>
      <protection/>
    </xf>
    <xf numFmtId="0" fontId="10" fillId="0" borderId="22" xfId="34" applyFont="1" applyBorder="1" applyAlignment="1">
      <alignment horizontal="left"/>
      <protection/>
    </xf>
    <xf numFmtId="0" fontId="10" fillId="0" borderId="22" xfId="34" applyFont="1" applyBorder="1" applyAlignment="1">
      <alignment horizontal="center"/>
      <protection/>
    </xf>
    <xf numFmtId="0" fontId="8" fillId="0" borderId="0" xfId="0" applyFont="1" applyAlignment="1">
      <alignment/>
    </xf>
    <xf numFmtId="2" fontId="14" fillId="0" borderId="0" xfId="0" applyNumberFormat="1" applyFont="1" applyFill="1" applyAlignment="1">
      <alignment horizontal="left"/>
    </xf>
    <xf numFmtId="2" fontId="14" fillId="0" borderId="0" xfId="0" applyNumberFormat="1" applyFont="1" applyFill="1" applyAlignment="1">
      <alignment/>
    </xf>
    <xf numFmtId="0" fontId="14" fillId="0" borderId="0" xfId="0" applyFont="1" applyFill="1" applyAlignment="1">
      <alignment/>
    </xf>
    <xf numFmtId="2" fontId="10" fillId="0" borderId="0" xfId="0" applyNumberFormat="1" applyFont="1" applyFill="1" applyAlignment="1">
      <alignment horizontal="center"/>
    </xf>
    <xf numFmtId="2" fontId="10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2" fontId="10" fillId="0" borderId="0" xfId="0" applyNumberFormat="1" applyFont="1" applyFill="1" applyBorder="1" applyAlignment="1">
      <alignment/>
    </xf>
    <xf numFmtId="0" fontId="8" fillId="0" borderId="0" xfId="0" applyFont="1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Sheet1" xfId="33"/>
    <cellStyle name="Normal_Sheet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30"/>
  <sheetViews>
    <sheetView view="pageBreakPreview" zoomScaleSheetLayoutView="100" workbookViewId="0" topLeftCell="A1">
      <pane xSplit="1" ySplit="5" topLeftCell="B19" activePane="bottomRight" state="frozen"/>
      <selection pane="topLeft" activeCell="A1" sqref="A1"/>
      <selection pane="topRight" activeCell="B1" sqref="B1"/>
      <selection pane="bottomLeft" activeCell="A6" sqref="A6"/>
      <selection pane="bottomRight" activeCell="J32" sqref="J32"/>
    </sheetView>
  </sheetViews>
  <sheetFormatPr defaultColWidth="9.140625" defaultRowHeight="12.75"/>
  <cols>
    <col min="1" max="1" width="23.421875" style="239" customWidth="1"/>
    <col min="2" max="2" width="7.00390625" style="240" customWidth="1"/>
    <col min="3" max="3" width="6.8515625" style="240" customWidth="1"/>
    <col min="4" max="4" width="9.00390625" style="240" customWidth="1"/>
    <col min="5" max="5" width="12.7109375" style="240" customWidth="1"/>
    <col min="6" max="6" width="13.28125" style="240" customWidth="1"/>
    <col min="7" max="7" width="12.00390625" style="240" customWidth="1"/>
    <col min="8" max="8" width="9.8515625" style="240" customWidth="1"/>
    <col min="9" max="9" width="10.421875" style="240" customWidth="1"/>
    <col min="10" max="10" width="8.8515625" style="240" customWidth="1"/>
    <col min="11" max="11" width="9.8515625" style="240" customWidth="1"/>
    <col min="12" max="12" width="7.8515625" style="240" customWidth="1"/>
    <col min="13" max="13" width="9.00390625" style="240" customWidth="1"/>
    <col min="14" max="14" width="8.140625" style="240" customWidth="1"/>
    <col min="15" max="15" width="5.421875" style="240" customWidth="1"/>
    <col min="16" max="16" width="9.00390625" style="240" customWidth="1"/>
    <col min="17" max="17" width="7.57421875" style="240" customWidth="1"/>
    <col min="18" max="19" width="9.00390625" style="240" customWidth="1"/>
    <col min="20" max="20" width="7.8515625" style="240" customWidth="1"/>
    <col min="21" max="21" width="9.7109375" style="240" customWidth="1"/>
    <col min="22" max="22" width="8.140625" style="240" customWidth="1"/>
    <col min="23" max="23" width="11.28125" style="240" customWidth="1"/>
    <col min="24" max="24" width="7.7109375" style="240" customWidth="1"/>
    <col min="25" max="25" width="6.140625" style="240" customWidth="1"/>
    <col min="26" max="26" width="11.7109375" style="322" customWidth="1"/>
    <col min="27" max="27" width="7.421875" style="322" customWidth="1"/>
    <col min="28" max="28" width="8.00390625" style="322" customWidth="1"/>
    <col min="29" max="29" width="5.28125" style="240" customWidth="1"/>
    <col min="30" max="30" width="9.421875" style="240" customWidth="1"/>
    <col min="31" max="31" width="7.57421875" style="240" customWidth="1"/>
    <col min="32" max="32" width="8.8515625" style="322" customWidth="1"/>
    <col min="33" max="33" width="12.7109375" style="240" customWidth="1"/>
    <col min="34" max="34" width="10.421875" style="322" customWidth="1"/>
    <col min="35" max="16384" width="9.140625" style="240" customWidth="1"/>
  </cols>
  <sheetData>
    <row r="1" ht="12.75">
      <c r="AD1" s="240" t="s">
        <v>16</v>
      </c>
    </row>
    <row r="2" spans="1:34" s="243" customFormat="1" ht="18" customHeight="1">
      <c r="A2" s="576" t="s">
        <v>238</v>
      </c>
      <c r="B2" s="576"/>
      <c r="C2" s="576"/>
      <c r="D2" s="576"/>
      <c r="E2" s="576"/>
      <c r="F2" s="576"/>
      <c r="G2" s="576"/>
      <c r="H2" s="576"/>
      <c r="I2" s="576"/>
      <c r="J2" s="576"/>
      <c r="K2" s="576"/>
      <c r="L2" s="576"/>
      <c r="M2" s="576"/>
      <c r="N2" s="576"/>
      <c r="O2" s="241"/>
      <c r="P2" s="242"/>
      <c r="Q2" s="242"/>
      <c r="R2" s="242"/>
      <c r="S2" s="242"/>
      <c r="T2" s="242"/>
      <c r="U2" s="242"/>
      <c r="V2" s="242"/>
      <c r="W2" s="242"/>
      <c r="X2" s="242"/>
      <c r="Y2" s="242"/>
      <c r="Z2" s="323"/>
      <c r="AA2" s="323"/>
      <c r="AB2" s="323"/>
      <c r="AC2" s="242"/>
      <c r="AD2" s="242"/>
      <c r="AE2" s="242"/>
      <c r="AF2" s="326"/>
      <c r="AG2" s="242"/>
      <c r="AH2" s="323"/>
    </row>
    <row r="3" ht="12.75">
      <c r="AD3" s="240" t="s">
        <v>16</v>
      </c>
    </row>
    <row r="4" ht="13.5" thickBot="1"/>
    <row r="5" spans="1:34" s="254" customFormat="1" ht="57.75" customHeight="1" thickBot="1">
      <c r="A5" s="244"/>
      <c r="B5" s="245" t="s">
        <v>226</v>
      </c>
      <c r="C5" s="246" t="s">
        <v>116</v>
      </c>
      <c r="D5" s="488" t="s">
        <v>233</v>
      </c>
      <c r="E5" s="247" t="s">
        <v>117</v>
      </c>
      <c r="F5" s="248" t="s">
        <v>115</v>
      </c>
      <c r="G5" s="249">
        <v>4111</v>
      </c>
      <c r="H5" s="249">
        <v>4112</v>
      </c>
      <c r="I5" s="250">
        <v>4212</v>
      </c>
      <c r="J5" s="250">
        <v>4213</v>
      </c>
      <c r="K5" s="250">
        <v>4214</v>
      </c>
      <c r="L5" s="250">
        <v>4215</v>
      </c>
      <c r="M5" s="251" t="s">
        <v>169</v>
      </c>
      <c r="N5" s="250">
        <v>4234</v>
      </c>
      <c r="O5" s="250">
        <v>4239</v>
      </c>
      <c r="P5" s="250">
        <v>4241</v>
      </c>
      <c r="Q5" s="250">
        <v>4251</v>
      </c>
      <c r="R5" s="250">
        <v>4252</v>
      </c>
      <c r="S5" s="250">
        <v>4261</v>
      </c>
      <c r="T5" s="250">
        <v>4262</v>
      </c>
      <c r="U5" s="250" t="s">
        <v>51</v>
      </c>
      <c r="V5" s="250">
        <v>4266</v>
      </c>
      <c r="W5" s="250" t="s">
        <v>52</v>
      </c>
      <c r="X5" s="250" t="s">
        <v>2</v>
      </c>
      <c r="Y5" s="250">
        <v>4823</v>
      </c>
      <c r="Z5" s="324" t="s">
        <v>172</v>
      </c>
      <c r="AA5" s="324">
        <v>5111</v>
      </c>
      <c r="AB5" s="324">
        <v>5112</v>
      </c>
      <c r="AC5" s="252" t="s">
        <v>56</v>
      </c>
      <c r="AD5" s="252" t="s">
        <v>50</v>
      </c>
      <c r="AE5" s="252" t="s">
        <v>58</v>
      </c>
      <c r="AF5" s="327" t="s">
        <v>19</v>
      </c>
      <c r="AG5" s="253" t="s">
        <v>170</v>
      </c>
      <c r="AH5" s="325" t="s">
        <v>239</v>
      </c>
    </row>
    <row r="6" spans="1:34" s="273" customFormat="1" ht="28.5" customHeight="1">
      <c r="A6" s="380" t="s">
        <v>187</v>
      </c>
      <c r="B6" s="381">
        <v>6.6</v>
      </c>
      <c r="C6" s="382"/>
      <c r="D6" s="382"/>
      <c r="E6" s="383">
        <v>24110.3</v>
      </c>
      <c r="F6" s="384">
        <f aca="true" t="shared" si="0" ref="F6:F30">SUM(C6:E6)</f>
        <v>24110.3</v>
      </c>
      <c r="G6" s="385">
        <v>18437.2</v>
      </c>
      <c r="H6" s="385"/>
      <c r="I6" s="272">
        <v>428.3</v>
      </c>
      <c r="J6" s="272">
        <v>159.1</v>
      </c>
      <c r="K6" s="272">
        <v>100.8</v>
      </c>
      <c r="L6" s="272"/>
      <c r="M6" s="272"/>
      <c r="N6" s="272"/>
      <c r="O6" s="272"/>
      <c r="P6" s="272">
        <v>207</v>
      </c>
      <c r="Q6" s="272"/>
      <c r="R6" s="272"/>
      <c r="S6" s="272">
        <v>150</v>
      </c>
      <c r="T6" s="272"/>
      <c r="U6" s="272"/>
      <c r="V6" s="272">
        <v>53</v>
      </c>
      <c r="W6" s="272">
        <v>4518.4</v>
      </c>
      <c r="X6" s="272">
        <v>58.5</v>
      </c>
      <c r="Y6" s="272"/>
      <c r="Z6" s="386">
        <f aca="true" t="shared" si="1" ref="Z6:Z17">SUM(G6:Y6)</f>
        <v>24112.299999999996</v>
      </c>
      <c r="AA6" s="386"/>
      <c r="AB6" s="386"/>
      <c r="AC6" s="272"/>
      <c r="AD6" s="272"/>
      <c r="AE6" s="272"/>
      <c r="AF6" s="387">
        <f>SUM(AA6:AE6)</f>
        <v>0</v>
      </c>
      <c r="AG6" s="388">
        <f>SUM(Z6,AF6)</f>
        <v>24112.299999999996</v>
      </c>
      <c r="AH6" s="389">
        <f aca="true" t="shared" si="2" ref="AH6:AH17">B6+F6-AG6</f>
        <v>4.600000000002183</v>
      </c>
    </row>
    <row r="7" spans="1:34" s="273" customFormat="1" ht="28.5" customHeight="1">
      <c r="A7" s="380" t="s">
        <v>188</v>
      </c>
      <c r="B7" s="390">
        <v>2.7</v>
      </c>
      <c r="C7" s="391"/>
      <c r="D7" s="391"/>
      <c r="E7" s="392">
        <v>18646</v>
      </c>
      <c r="F7" s="384">
        <f t="shared" si="0"/>
        <v>18646</v>
      </c>
      <c r="G7" s="393">
        <v>14437.2</v>
      </c>
      <c r="H7" s="393"/>
      <c r="I7" s="274">
        <v>468.1</v>
      </c>
      <c r="J7" s="274">
        <v>152.7</v>
      </c>
      <c r="K7" s="274">
        <v>99.6</v>
      </c>
      <c r="L7" s="274"/>
      <c r="M7" s="274"/>
      <c r="N7" s="274"/>
      <c r="O7" s="274"/>
      <c r="P7" s="274">
        <v>171</v>
      </c>
      <c r="Q7" s="274"/>
      <c r="R7" s="274"/>
      <c r="S7" s="274">
        <v>110</v>
      </c>
      <c r="T7" s="274"/>
      <c r="U7" s="274"/>
      <c r="V7" s="274">
        <v>48</v>
      </c>
      <c r="W7" s="274">
        <v>3118.7</v>
      </c>
      <c r="X7" s="274">
        <v>42.3</v>
      </c>
      <c r="Y7" s="274"/>
      <c r="Z7" s="386">
        <f t="shared" si="1"/>
        <v>18647.600000000002</v>
      </c>
      <c r="AA7" s="386"/>
      <c r="AB7" s="386"/>
      <c r="AC7" s="274"/>
      <c r="AD7" s="274"/>
      <c r="AE7" s="274"/>
      <c r="AF7" s="387">
        <f aca="true" t="shared" si="3" ref="AF7:AF17">SUM(AA7:AE7)</f>
        <v>0</v>
      </c>
      <c r="AG7" s="388">
        <f aca="true" t="shared" si="4" ref="AG7:AG29">SUM(Z7,AF7)</f>
        <v>18647.600000000002</v>
      </c>
      <c r="AH7" s="389">
        <f t="shared" si="2"/>
        <v>1.0999999999985448</v>
      </c>
    </row>
    <row r="8" spans="1:34" s="273" customFormat="1" ht="28.5" customHeight="1">
      <c r="A8" s="380" t="s">
        <v>189</v>
      </c>
      <c r="B8" s="390">
        <v>1.8</v>
      </c>
      <c r="C8" s="391"/>
      <c r="D8" s="394"/>
      <c r="E8" s="392">
        <v>19323.5</v>
      </c>
      <c r="F8" s="384">
        <f t="shared" si="0"/>
        <v>19323.5</v>
      </c>
      <c r="G8" s="393">
        <v>14496.8</v>
      </c>
      <c r="H8" s="393"/>
      <c r="I8" s="274">
        <v>545.6</v>
      </c>
      <c r="J8" s="274">
        <v>142</v>
      </c>
      <c r="K8" s="274">
        <v>99.6</v>
      </c>
      <c r="L8" s="274"/>
      <c r="M8" s="274"/>
      <c r="N8" s="274"/>
      <c r="O8" s="274"/>
      <c r="P8" s="274">
        <v>162</v>
      </c>
      <c r="Q8" s="274"/>
      <c r="R8" s="274">
        <v>68.5</v>
      </c>
      <c r="S8" s="274">
        <v>110</v>
      </c>
      <c r="T8" s="274"/>
      <c r="U8" s="274"/>
      <c r="V8" s="274">
        <v>48</v>
      </c>
      <c r="W8" s="274">
        <v>3465.5</v>
      </c>
      <c r="X8" s="274">
        <v>42.3</v>
      </c>
      <c r="Y8" s="274"/>
      <c r="Z8" s="386">
        <f t="shared" si="1"/>
        <v>19180.3</v>
      </c>
      <c r="AA8" s="386"/>
      <c r="AB8" s="386">
        <v>145</v>
      </c>
      <c r="AC8" s="274"/>
      <c r="AD8" s="274"/>
      <c r="AE8" s="274"/>
      <c r="AF8" s="387">
        <f t="shared" si="3"/>
        <v>145</v>
      </c>
      <c r="AG8" s="388">
        <f t="shared" si="4"/>
        <v>19325.3</v>
      </c>
      <c r="AH8" s="389">
        <f t="shared" si="2"/>
        <v>0</v>
      </c>
    </row>
    <row r="9" spans="1:34" s="273" customFormat="1" ht="28.5" customHeight="1">
      <c r="A9" s="380" t="s">
        <v>190</v>
      </c>
      <c r="B9" s="390">
        <v>2.4</v>
      </c>
      <c r="C9" s="391"/>
      <c r="D9" s="391"/>
      <c r="E9" s="392">
        <v>31959.3</v>
      </c>
      <c r="F9" s="384">
        <f t="shared" si="0"/>
        <v>31959.3</v>
      </c>
      <c r="G9" s="393">
        <v>21564.2</v>
      </c>
      <c r="H9" s="393"/>
      <c r="I9" s="393">
        <v>1711.8</v>
      </c>
      <c r="J9" s="393">
        <v>259.3</v>
      </c>
      <c r="K9" s="393">
        <v>99.6</v>
      </c>
      <c r="L9" s="393"/>
      <c r="M9" s="393"/>
      <c r="N9" s="393"/>
      <c r="O9" s="393"/>
      <c r="P9" s="393">
        <v>294</v>
      </c>
      <c r="Q9" s="393"/>
      <c r="R9" s="393">
        <v>198</v>
      </c>
      <c r="S9" s="393">
        <v>215</v>
      </c>
      <c r="T9" s="393"/>
      <c r="U9" s="393"/>
      <c r="V9" s="393">
        <v>70</v>
      </c>
      <c r="W9" s="393">
        <v>7454.3</v>
      </c>
      <c r="X9" s="274">
        <v>91</v>
      </c>
      <c r="Y9" s="274"/>
      <c r="Z9" s="386">
        <f t="shared" si="1"/>
        <v>31957.199999999997</v>
      </c>
      <c r="AA9" s="386"/>
      <c r="AB9" s="386"/>
      <c r="AC9" s="274"/>
      <c r="AD9" s="274"/>
      <c r="AE9" s="274"/>
      <c r="AF9" s="387">
        <f t="shared" si="3"/>
        <v>0</v>
      </c>
      <c r="AG9" s="388">
        <f t="shared" si="4"/>
        <v>31957.199999999997</v>
      </c>
      <c r="AH9" s="389">
        <f t="shared" si="2"/>
        <v>4.500000000003638</v>
      </c>
    </row>
    <row r="10" spans="1:34" s="273" customFormat="1" ht="28.5" customHeight="1">
      <c r="A10" s="380" t="s">
        <v>191</v>
      </c>
      <c r="B10" s="390">
        <v>1.3</v>
      </c>
      <c r="C10" s="391"/>
      <c r="D10" s="391"/>
      <c r="E10" s="392">
        <v>19020.2</v>
      </c>
      <c r="F10" s="384">
        <f t="shared" si="0"/>
        <v>19020.2</v>
      </c>
      <c r="G10" s="393">
        <v>14540.1</v>
      </c>
      <c r="H10" s="393"/>
      <c r="I10" s="393">
        <v>538.7</v>
      </c>
      <c r="J10" s="274">
        <v>131.5</v>
      </c>
      <c r="K10" s="274">
        <v>100.8</v>
      </c>
      <c r="L10" s="274"/>
      <c r="M10" s="274"/>
      <c r="N10" s="274"/>
      <c r="O10" s="274"/>
      <c r="P10" s="274">
        <v>153</v>
      </c>
      <c r="Q10" s="274"/>
      <c r="R10" s="274"/>
      <c r="S10" s="274">
        <v>110</v>
      </c>
      <c r="T10" s="274"/>
      <c r="U10" s="274"/>
      <c r="V10" s="274">
        <v>48</v>
      </c>
      <c r="W10" s="274">
        <v>3358.5</v>
      </c>
      <c r="X10" s="274">
        <v>40.9</v>
      </c>
      <c r="Y10" s="274"/>
      <c r="Z10" s="386">
        <f t="shared" si="1"/>
        <v>19021.5</v>
      </c>
      <c r="AA10" s="386"/>
      <c r="AB10" s="386"/>
      <c r="AC10" s="274"/>
      <c r="AD10" s="274"/>
      <c r="AE10" s="274"/>
      <c r="AF10" s="387">
        <f t="shared" si="3"/>
        <v>0</v>
      </c>
      <c r="AG10" s="388">
        <f t="shared" si="4"/>
        <v>19021.5</v>
      </c>
      <c r="AH10" s="389">
        <f t="shared" si="2"/>
        <v>0</v>
      </c>
    </row>
    <row r="11" spans="1:34" s="273" customFormat="1" ht="28.5" customHeight="1">
      <c r="A11" s="380" t="s">
        <v>192</v>
      </c>
      <c r="B11" s="390">
        <v>1.9</v>
      </c>
      <c r="C11" s="391"/>
      <c r="D11" s="391"/>
      <c r="E11" s="392">
        <v>24319.3</v>
      </c>
      <c r="F11" s="384">
        <f t="shared" si="0"/>
        <v>24319.3</v>
      </c>
      <c r="G11" s="393">
        <v>17930.3</v>
      </c>
      <c r="H11" s="393"/>
      <c r="I11" s="274">
        <v>611</v>
      </c>
      <c r="J11" s="274">
        <v>193.2</v>
      </c>
      <c r="K11" s="274">
        <v>100.8</v>
      </c>
      <c r="L11" s="274"/>
      <c r="M11" s="274"/>
      <c r="N11" s="274"/>
      <c r="O11" s="274"/>
      <c r="P11" s="274">
        <v>198</v>
      </c>
      <c r="Q11" s="274"/>
      <c r="R11" s="274"/>
      <c r="S11" s="274">
        <v>150</v>
      </c>
      <c r="T11" s="274"/>
      <c r="U11" s="274"/>
      <c r="V11" s="274">
        <v>53</v>
      </c>
      <c r="W11" s="274">
        <v>4710.3</v>
      </c>
      <c r="X11" s="274">
        <v>58.5</v>
      </c>
      <c r="Y11" s="274"/>
      <c r="Z11" s="386">
        <f t="shared" si="1"/>
        <v>24005.1</v>
      </c>
      <c r="AA11" s="386"/>
      <c r="AB11" s="386"/>
      <c r="AC11" s="274"/>
      <c r="AD11" s="274"/>
      <c r="AE11" s="274">
        <v>314</v>
      </c>
      <c r="AF11" s="387">
        <f t="shared" si="3"/>
        <v>314</v>
      </c>
      <c r="AG11" s="388">
        <f t="shared" si="4"/>
        <v>24319.1</v>
      </c>
      <c r="AH11" s="389">
        <f t="shared" si="2"/>
        <v>2.100000000002183</v>
      </c>
    </row>
    <row r="12" spans="1:34" s="273" customFormat="1" ht="28.5" customHeight="1">
      <c r="A12" s="380" t="s">
        <v>193</v>
      </c>
      <c r="B12" s="390">
        <v>0</v>
      </c>
      <c r="C12" s="391"/>
      <c r="D12" s="391"/>
      <c r="E12" s="392">
        <v>24728.8</v>
      </c>
      <c r="F12" s="384">
        <f t="shared" si="0"/>
        <v>24728.8</v>
      </c>
      <c r="G12" s="393">
        <v>18389.8</v>
      </c>
      <c r="H12" s="393"/>
      <c r="I12" s="274">
        <v>662.3</v>
      </c>
      <c r="J12" s="274">
        <v>171.7</v>
      </c>
      <c r="K12" s="274">
        <v>100.8</v>
      </c>
      <c r="L12" s="274"/>
      <c r="M12" s="274"/>
      <c r="N12" s="274"/>
      <c r="O12" s="274"/>
      <c r="P12" s="274">
        <v>216</v>
      </c>
      <c r="Q12" s="274"/>
      <c r="R12" s="274"/>
      <c r="S12" s="274">
        <v>150</v>
      </c>
      <c r="T12" s="274"/>
      <c r="U12" s="274"/>
      <c r="V12" s="274">
        <v>53</v>
      </c>
      <c r="W12" s="567">
        <v>4702.1</v>
      </c>
      <c r="X12" s="274">
        <v>58.5</v>
      </c>
      <c r="Y12" s="274"/>
      <c r="Z12" s="386">
        <f t="shared" si="1"/>
        <v>24504.199999999997</v>
      </c>
      <c r="AA12" s="386"/>
      <c r="AB12" s="386"/>
      <c r="AC12" s="274"/>
      <c r="AD12" s="274"/>
      <c r="AE12" s="274">
        <v>220</v>
      </c>
      <c r="AF12" s="387">
        <f t="shared" si="3"/>
        <v>220</v>
      </c>
      <c r="AG12" s="388">
        <f t="shared" si="4"/>
        <v>24724.199999999997</v>
      </c>
      <c r="AH12" s="389">
        <f t="shared" si="2"/>
        <v>4.600000000002183</v>
      </c>
    </row>
    <row r="13" spans="1:36" s="273" customFormat="1" ht="28.5" customHeight="1">
      <c r="A13" s="380" t="s">
        <v>194</v>
      </c>
      <c r="B13" s="390">
        <v>4.6</v>
      </c>
      <c r="C13" s="391"/>
      <c r="D13" s="391"/>
      <c r="E13" s="392">
        <v>32273.6</v>
      </c>
      <c r="F13" s="384">
        <f t="shared" si="0"/>
        <v>32273.6</v>
      </c>
      <c r="G13" s="393">
        <v>21420.2</v>
      </c>
      <c r="H13" s="393"/>
      <c r="I13" s="274">
        <v>1090.8</v>
      </c>
      <c r="J13" s="274">
        <v>297.8</v>
      </c>
      <c r="K13" s="274">
        <v>100.8</v>
      </c>
      <c r="L13" s="274"/>
      <c r="M13" s="274"/>
      <c r="N13" s="274"/>
      <c r="O13" s="274"/>
      <c r="P13" s="274">
        <v>289.3</v>
      </c>
      <c r="Q13" s="274"/>
      <c r="R13" s="274"/>
      <c r="S13" s="274">
        <v>215</v>
      </c>
      <c r="T13" s="274"/>
      <c r="U13" s="274"/>
      <c r="V13" s="274">
        <v>70</v>
      </c>
      <c r="W13" s="274">
        <v>7707.3</v>
      </c>
      <c r="X13" s="274">
        <v>91</v>
      </c>
      <c r="Y13" s="274"/>
      <c r="Z13" s="386">
        <f t="shared" si="1"/>
        <v>31282.199999999997</v>
      </c>
      <c r="AA13" s="386"/>
      <c r="AB13" s="386"/>
      <c r="AC13" s="274"/>
      <c r="AD13" s="274">
        <v>992</v>
      </c>
      <c r="AE13" s="274"/>
      <c r="AF13" s="387">
        <f t="shared" si="3"/>
        <v>992</v>
      </c>
      <c r="AG13" s="388">
        <f t="shared" si="4"/>
        <v>32274.199999999997</v>
      </c>
      <c r="AH13" s="389">
        <f t="shared" si="2"/>
        <v>4</v>
      </c>
      <c r="AJ13" s="273" t="s">
        <v>16</v>
      </c>
    </row>
    <row r="14" spans="1:34" s="273" customFormat="1" ht="28.5" customHeight="1">
      <c r="A14" s="380" t="s">
        <v>195</v>
      </c>
      <c r="B14" s="390">
        <v>0.9</v>
      </c>
      <c r="C14" s="395"/>
      <c r="D14" s="391"/>
      <c r="E14" s="392">
        <v>29593.2</v>
      </c>
      <c r="F14" s="384">
        <f t="shared" si="0"/>
        <v>29593.2</v>
      </c>
      <c r="G14" s="393">
        <v>19681</v>
      </c>
      <c r="H14" s="393"/>
      <c r="I14" s="274">
        <v>1289.5</v>
      </c>
      <c r="J14" s="274">
        <v>196.8</v>
      </c>
      <c r="K14" s="274">
        <v>99.6</v>
      </c>
      <c r="L14" s="274"/>
      <c r="M14" s="274"/>
      <c r="N14" s="274"/>
      <c r="O14" s="274"/>
      <c r="P14" s="274">
        <v>458.5</v>
      </c>
      <c r="Q14" s="274">
        <v>439.4</v>
      </c>
      <c r="R14" s="274"/>
      <c r="S14" s="274">
        <v>150</v>
      </c>
      <c r="T14" s="274"/>
      <c r="U14" s="274"/>
      <c r="V14" s="274">
        <v>53</v>
      </c>
      <c r="W14" s="274">
        <f>6947.8-1.8</f>
        <v>6946</v>
      </c>
      <c r="X14" s="274">
        <v>58.5</v>
      </c>
      <c r="Y14" s="274"/>
      <c r="Z14" s="386">
        <f t="shared" si="1"/>
        <v>29372.3</v>
      </c>
      <c r="AA14" s="386"/>
      <c r="AB14" s="386"/>
      <c r="AC14" s="274"/>
      <c r="AD14" s="274"/>
      <c r="AE14" s="274">
        <v>220</v>
      </c>
      <c r="AF14" s="387">
        <f t="shared" si="3"/>
        <v>220</v>
      </c>
      <c r="AG14" s="388">
        <f t="shared" si="4"/>
        <v>29592.3</v>
      </c>
      <c r="AH14" s="389">
        <f t="shared" si="2"/>
        <v>1.8000000000029104</v>
      </c>
    </row>
    <row r="15" spans="1:34" s="273" customFormat="1" ht="28.5" customHeight="1">
      <c r="A15" s="380" t="s">
        <v>196</v>
      </c>
      <c r="B15" s="390">
        <v>4.8</v>
      </c>
      <c r="C15" s="391">
        <v>130</v>
      </c>
      <c r="D15" s="391"/>
      <c r="E15" s="392">
        <v>29347.5</v>
      </c>
      <c r="F15" s="384">
        <f t="shared" si="0"/>
        <v>29477.5</v>
      </c>
      <c r="G15" s="393">
        <v>22020.3</v>
      </c>
      <c r="H15" s="393"/>
      <c r="I15" s="274">
        <v>635.4</v>
      </c>
      <c r="J15" s="274">
        <v>187.4</v>
      </c>
      <c r="K15" s="274">
        <v>100.8</v>
      </c>
      <c r="L15" s="274"/>
      <c r="M15" s="274"/>
      <c r="N15" s="274"/>
      <c r="O15" s="274">
        <v>25.2</v>
      </c>
      <c r="P15" s="274">
        <v>379.8</v>
      </c>
      <c r="Q15" s="274"/>
      <c r="R15" s="274"/>
      <c r="S15" s="274">
        <v>170</v>
      </c>
      <c r="T15" s="274"/>
      <c r="U15" s="274"/>
      <c r="V15" s="274">
        <v>55</v>
      </c>
      <c r="W15" s="274">
        <v>5774</v>
      </c>
      <c r="X15" s="274">
        <v>127.5</v>
      </c>
      <c r="Y15" s="274"/>
      <c r="Z15" s="386">
        <f t="shared" si="1"/>
        <v>29475.4</v>
      </c>
      <c r="AA15" s="386"/>
      <c r="AB15" s="386"/>
      <c r="AC15" s="274"/>
      <c r="AD15" s="274"/>
      <c r="AE15" s="274"/>
      <c r="AF15" s="387">
        <f t="shared" si="3"/>
        <v>0</v>
      </c>
      <c r="AG15" s="388">
        <f t="shared" si="4"/>
        <v>29475.4</v>
      </c>
      <c r="AH15" s="389">
        <f t="shared" si="2"/>
        <v>6.899999999997817</v>
      </c>
    </row>
    <row r="16" spans="1:34" s="273" customFormat="1" ht="28.5" customHeight="1">
      <c r="A16" s="380" t="s">
        <v>197</v>
      </c>
      <c r="B16" s="396">
        <v>7.9</v>
      </c>
      <c r="C16" s="395"/>
      <c r="D16" s="395"/>
      <c r="E16" s="397">
        <v>23586.8</v>
      </c>
      <c r="F16" s="398">
        <f t="shared" si="0"/>
        <v>23586.8</v>
      </c>
      <c r="G16" s="393">
        <v>17206.2</v>
      </c>
      <c r="H16" s="393"/>
      <c r="I16" s="274">
        <v>754.8</v>
      </c>
      <c r="J16" s="274">
        <v>201.9</v>
      </c>
      <c r="K16" s="274">
        <v>100.8</v>
      </c>
      <c r="L16" s="274"/>
      <c r="M16" s="274"/>
      <c r="N16" s="274"/>
      <c r="O16" s="274"/>
      <c r="P16" s="274">
        <v>207</v>
      </c>
      <c r="Q16" s="274"/>
      <c r="R16" s="274">
        <v>179.6</v>
      </c>
      <c r="S16" s="274">
        <v>150</v>
      </c>
      <c r="T16" s="274"/>
      <c r="U16" s="274"/>
      <c r="V16" s="274">
        <v>53</v>
      </c>
      <c r="W16" s="274">
        <v>4683.5</v>
      </c>
      <c r="X16" s="274">
        <v>57.9</v>
      </c>
      <c r="Y16" s="274"/>
      <c r="Z16" s="386">
        <f t="shared" si="1"/>
        <v>23594.7</v>
      </c>
      <c r="AA16" s="386"/>
      <c r="AB16" s="386"/>
      <c r="AC16" s="274"/>
      <c r="AD16" s="274"/>
      <c r="AE16" s="274"/>
      <c r="AF16" s="387">
        <f t="shared" si="3"/>
        <v>0</v>
      </c>
      <c r="AG16" s="388">
        <f t="shared" si="4"/>
        <v>23594.7</v>
      </c>
      <c r="AH16" s="389">
        <f t="shared" si="2"/>
        <v>0</v>
      </c>
    </row>
    <row r="17" spans="1:34" s="273" customFormat="1" ht="28.5" customHeight="1" thickBot="1">
      <c r="A17" s="380" t="s">
        <v>198</v>
      </c>
      <c r="B17" s="399">
        <v>3.9</v>
      </c>
      <c r="C17" s="400"/>
      <c r="D17" s="400"/>
      <c r="E17" s="401">
        <v>28688.6</v>
      </c>
      <c r="F17" s="402">
        <f t="shared" si="0"/>
        <v>28688.6</v>
      </c>
      <c r="G17" s="403">
        <v>21124</v>
      </c>
      <c r="H17" s="403"/>
      <c r="I17" s="275">
        <v>944.1</v>
      </c>
      <c r="J17" s="275">
        <v>214.9</v>
      </c>
      <c r="K17" s="275">
        <v>99.6</v>
      </c>
      <c r="L17" s="275"/>
      <c r="M17" s="275"/>
      <c r="N17" s="275"/>
      <c r="O17" s="275"/>
      <c r="P17" s="275">
        <v>216</v>
      </c>
      <c r="Q17" s="275"/>
      <c r="R17" s="275">
        <v>6.5</v>
      </c>
      <c r="S17" s="275">
        <v>190</v>
      </c>
      <c r="T17" s="275"/>
      <c r="U17" s="275"/>
      <c r="V17" s="275">
        <v>58</v>
      </c>
      <c r="W17" s="275">
        <f>5764.7-4.2</f>
        <v>5760.5</v>
      </c>
      <c r="X17" s="275">
        <v>74.7</v>
      </c>
      <c r="Y17" s="275"/>
      <c r="Z17" s="404">
        <f t="shared" si="1"/>
        <v>28688.3</v>
      </c>
      <c r="AA17" s="404"/>
      <c r="AB17" s="404"/>
      <c r="AC17" s="275"/>
      <c r="AD17" s="275"/>
      <c r="AE17" s="275"/>
      <c r="AF17" s="387">
        <f t="shared" si="3"/>
        <v>0</v>
      </c>
      <c r="AG17" s="405">
        <f t="shared" si="4"/>
        <v>28688.3</v>
      </c>
      <c r="AH17" s="406">
        <f t="shared" si="2"/>
        <v>4.200000000000728</v>
      </c>
    </row>
    <row r="18" spans="1:34" s="263" customFormat="1" ht="28.5" customHeight="1" thickBot="1">
      <c r="A18" s="255" t="s">
        <v>205</v>
      </c>
      <c r="B18" s="256">
        <f aca="true" t="shared" si="5" ref="B18:N18">SUM(B6:B17)</f>
        <v>38.800000000000004</v>
      </c>
      <c r="C18" s="257">
        <f t="shared" si="5"/>
        <v>130</v>
      </c>
      <c r="D18" s="257">
        <f t="shared" si="5"/>
        <v>0</v>
      </c>
      <c r="E18" s="258">
        <f t="shared" si="5"/>
        <v>305597.1</v>
      </c>
      <c r="F18" s="276">
        <f t="shared" si="0"/>
        <v>305727.1</v>
      </c>
      <c r="G18" s="259">
        <f t="shared" si="5"/>
        <v>221247.30000000002</v>
      </c>
      <c r="H18" s="259"/>
      <c r="I18" s="260">
        <f t="shared" si="5"/>
        <v>9680.4</v>
      </c>
      <c r="J18" s="260">
        <f t="shared" si="5"/>
        <v>2308.3</v>
      </c>
      <c r="K18" s="260">
        <f t="shared" si="5"/>
        <v>1203.6</v>
      </c>
      <c r="L18" s="260">
        <f t="shared" si="5"/>
        <v>0</v>
      </c>
      <c r="M18" s="260">
        <f t="shared" si="5"/>
        <v>0</v>
      </c>
      <c r="N18" s="260">
        <f t="shared" si="5"/>
        <v>0</v>
      </c>
      <c r="O18" s="260">
        <f aca="true" t="shared" si="6" ref="O18:AH18">SUM(O6:O17)</f>
        <v>25.2</v>
      </c>
      <c r="P18" s="260">
        <f>SUM(P6:P17)</f>
        <v>2951.6000000000004</v>
      </c>
      <c r="Q18" s="260">
        <f t="shared" si="6"/>
        <v>439.4</v>
      </c>
      <c r="R18" s="260">
        <f t="shared" si="6"/>
        <v>452.6</v>
      </c>
      <c r="S18" s="260">
        <f t="shared" si="6"/>
        <v>1870</v>
      </c>
      <c r="T18" s="260">
        <f t="shared" si="6"/>
        <v>0</v>
      </c>
      <c r="U18" s="260">
        <f t="shared" si="6"/>
        <v>0</v>
      </c>
      <c r="V18" s="260">
        <f t="shared" si="6"/>
        <v>662</v>
      </c>
      <c r="W18" s="260">
        <f t="shared" si="6"/>
        <v>62199.1</v>
      </c>
      <c r="X18" s="260">
        <f t="shared" si="6"/>
        <v>801.6</v>
      </c>
      <c r="Y18" s="260">
        <f t="shared" si="6"/>
        <v>0</v>
      </c>
      <c r="Z18" s="260">
        <f>SUM(Z6:Z17)</f>
        <v>303841.1</v>
      </c>
      <c r="AA18" s="260">
        <f t="shared" si="6"/>
        <v>0</v>
      </c>
      <c r="AB18" s="260">
        <f t="shared" si="6"/>
        <v>145</v>
      </c>
      <c r="AC18" s="260">
        <f t="shared" si="6"/>
        <v>0</v>
      </c>
      <c r="AD18" s="260">
        <f t="shared" si="6"/>
        <v>992</v>
      </c>
      <c r="AE18" s="260">
        <f t="shared" si="6"/>
        <v>754</v>
      </c>
      <c r="AF18" s="261">
        <f t="shared" si="6"/>
        <v>1891</v>
      </c>
      <c r="AG18" s="261">
        <f t="shared" si="6"/>
        <v>305732.1</v>
      </c>
      <c r="AH18" s="262">
        <f t="shared" si="6"/>
        <v>33.800000000010186</v>
      </c>
    </row>
    <row r="19" spans="1:34" s="273" customFormat="1" ht="28.5" customHeight="1">
      <c r="A19" s="407" t="s">
        <v>199</v>
      </c>
      <c r="B19" s="381"/>
      <c r="C19" s="382"/>
      <c r="D19" s="383">
        <v>2800.5</v>
      </c>
      <c r="E19" s="383">
        <v>39258.1</v>
      </c>
      <c r="F19" s="384">
        <f t="shared" si="0"/>
        <v>42058.6</v>
      </c>
      <c r="G19" s="385">
        <v>40476</v>
      </c>
      <c r="H19" s="385"/>
      <c r="I19" s="272">
        <v>819.1</v>
      </c>
      <c r="J19" s="272">
        <v>177</v>
      </c>
      <c r="K19" s="272">
        <v>139.6</v>
      </c>
      <c r="L19" s="272"/>
      <c r="M19" s="272"/>
      <c r="N19" s="272"/>
      <c r="O19" s="272"/>
      <c r="P19" s="272">
        <v>43.3</v>
      </c>
      <c r="Q19" s="272"/>
      <c r="R19" s="272"/>
      <c r="S19" s="272">
        <v>268.6</v>
      </c>
      <c r="T19" s="272"/>
      <c r="U19" s="272"/>
      <c r="V19" s="272"/>
      <c r="W19" s="272">
        <v>135</v>
      </c>
      <c r="X19" s="272"/>
      <c r="Y19" s="272"/>
      <c r="Z19" s="386">
        <f>SUM(G19:Y19)</f>
        <v>42058.6</v>
      </c>
      <c r="AA19" s="386"/>
      <c r="AB19" s="386"/>
      <c r="AC19" s="272"/>
      <c r="AD19" s="272"/>
      <c r="AE19" s="272"/>
      <c r="AF19" s="387">
        <f>SUM(AC19:AE19)</f>
        <v>0</v>
      </c>
      <c r="AG19" s="388">
        <f t="shared" si="4"/>
        <v>42058.6</v>
      </c>
      <c r="AH19" s="389">
        <f>B19+F19-AG19</f>
        <v>0</v>
      </c>
    </row>
    <row r="20" spans="1:34" s="413" customFormat="1" ht="28.5" customHeight="1">
      <c r="A20" s="408" t="s">
        <v>200</v>
      </c>
      <c r="B20" s="409"/>
      <c r="C20" s="391"/>
      <c r="D20" s="383">
        <v>1166.9</v>
      </c>
      <c r="E20" s="392">
        <v>20477.3</v>
      </c>
      <c r="F20" s="384">
        <f t="shared" si="0"/>
        <v>21644.2</v>
      </c>
      <c r="G20" s="393">
        <v>20572.1</v>
      </c>
      <c r="H20" s="393"/>
      <c r="I20" s="274">
        <v>853.3</v>
      </c>
      <c r="J20" s="274">
        <v>46.9</v>
      </c>
      <c r="K20" s="274">
        <v>99.9</v>
      </c>
      <c r="L20" s="410"/>
      <c r="M20" s="410"/>
      <c r="N20" s="410"/>
      <c r="O20" s="274"/>
      <c r="P20" s="274"/>
      <c r="Q20" s="410"/>
      <c r="R20" s="410"/>
      <c r="S20" s="274">
        <v>45</v>
      </c>
      <c r="T20" s="274"/>
      <c r="U20" s="410"/>
      <c r="V20" s="410"/>
      <c r="W20" s="274">
        <v>27</v>
      </c>
      <c r="X20" s="411"/>
      <c r="Y20" s="410"/>
      <c r="Z20" s="412">
        <f>SUM(G20:Y20)</f>
        <v>21644.2</v>
      </c>
      <c r="AA20" s="412"/>
      <c r="AB20" s="412"/>
      <c r="AC20" s="410"/>
      <c r="AD20" s="410"/>
      <c r="AE20" s="410"/>
      <c r="AF20" s="387">
        <f>SUM(AC20:AE20)</f>
        <v>0</v>
      </c>
      <c r="AG20" s="388">
        <f t="shared" si="4"/>
        <v>21644.2</v>
      </c>
      <c r="AH20" s="389">
        <f>B20+F20-AG20</f>
        <v>0</v>
      </c>
    </row>
    <row r="21" spans="1:34" s="273" customFormat="1" ht="28.5" customHeight="1">
      <c r="A21" s="414" t="s">
        <v>201</v>
      </c>
      <c r="B21" s="390"/>
      <c r="C21" s="391"/>
      <c r="D21" s="391"/>
      <c r="E21" s="392">
        <v>26188.1</v>
      </c>
      <c r="F21" s="384">
        <f t="shared" si="0"/>
        <v>26188.1</v>
      </c>
      <c r="G21" s="393">
        <v>21694</v>
      </c>
      <c r="H21" s="393"/>
      <c r="I21" s="393">
        <v>2322.8</v>
      </c>
      <c r="J21" s="274">
        <v>150.1</v>
      </c>
      <c r="K21" s="274">
        <v>99.6</v>
      </c>
      <c r="L21" s="274"/>
      <c r="M21" s="274">
        <v>1583.9</v>
      </c>
      <c r="N21" s="274"/>
      <c r="O21" s="274"/>
      <c r="P21" s="274">
        <v>97.7</v>
      </c>
      <c r="Q21" s="274"/>
      <c r="R21" s="274"/>
      <c r="S21" s="274">
        <v>60</v>
      </c>
      <c r="T21" s="274"/>
      <c r="U21" s="274"/>
      <c r="V21" s="274">
        <v>20</v>
      </c>
      <c r="W21" s="274">
        <v>140</v>
      </c>
      <c r="X21" s="274"/>
      <c r="Y21" s="274"/>
      <c r="Z21" s="412">
        <f>SUM(G21:Y21)</f>
        <v>26168.1</v>
      </c>
      <c r="AA21" s="412"/>
      <c r="AB21" s="412"/>
      <c r="AC21" s="274"/>
      <c r="AD21" s="274">
        <v>20</v>
      </c>
      <c r="AE21" s="274"/>
      <c r="AF21" s="387">
        <f>SUM(AA21:AE21)</f>
        <v>20</v>
      </c>
      <c r="AG21" s="388">
        <f t="shared" si="4"/>
        <v>26188.1</v>
      </c>
      <c r="AH21" s="389">
        <f>B21+F21-AG21</f>
        <v>0</v>
      </c>
    </row>
    <row r="22" spans="1:34" s="273" customFormat="1" ht="28.5" customHeight="1">
      <c r="A22" s="414" t="s">
        <v>202</v>
      </c>
      <c r="B22" s="390"/>
      <c r="C22" s="391"/>
      <c r="D22" s="391"/>
      <c r="E22" s="392">
        <v>15357</v>
      </c>
      <c r="F22" s="384">
        <f t="shared" si="0"/>
        <v>15357</v>
      </c>
      <c r="G22" s="393">
        <v>13014.2</v>
      </c>
      <c r="H22" s="393"/>
      <c r="I22" s="393">
        <v>892.2</v>
      </c>
      <c r="J22" s="274">
        <v>89</v>
      </c>
      <c r="K22" s="274">
        <v>99.6</v>
      </c>
      <c r="L22" s="274"/>
      <c r="M22" s="274">
        <v>988.7</v>
      </c>
      <c r="N22" s="274"/>
      <c r="O22" s="274"/>
      <c r="P22" s="274">
        <v>28.3</v>
      </c>
      <c r="Q22" s="274"/>
      <c r="R22" s="274"/>
      <c r="S22" s="274">
        <v>60</v>
      </c>
      <c r="T22" s="274"/>
      <c r="U22" s="274"/>
      <c r="V22" s="274">
        <v>15</v>
      </c>
      <c r="W22" s="274">
        <v>60</v>
      </c>
      <c r="X22" s="274"/>
      <c r="Y22" s="274"/>
      <c r="Z22" s="412">
        <f>SUM(G22:Y22)</f>
        <v>15247.000000000002</v>
      </c>
      <c r="AA22" s="412"/>
      <c r="AB22" s="412"/>
      <c r="AC22" s="274"/>
      <c r="AD22" s="274">
        <v>110</v>
      </c>
      <c r="AE22" s="274"/>
      <c r="AF22" s="387">
        <f>SUM(AC22:AE22)</f>
        <v>110</v>
      </c>
      <c r="AG22" s="388">
        <f t="shared" si="4"/>
        <v>15357.000000000002</v>
      </c>
      <c r="AH22" s="389">
        <f>B22+F22-AG22</f>
        <v>0</v>
      </c>
    </row>
    <row r="23" spans="1:34" s="273" customFormat="1" ht="28.5" customHeight="1" thickBot="1">
      <c r="A23" s="415" t="s">
        <v>203</v>
      </c>
      <c r="B23" s="399"/>
      <c r="C23" s="400"/>
      <c r="D23" s="400"/>
      <c r="E23" s="401">
        <v>10049.1</v>
      </c>
      <c r="F23" s="402">
        <f t="shared" si="0"/>
        <v>10049.1</v>
      </c>
      <c r="G23" s="403">
        <v>8649.8</v>
      </c>
      <c r="H23" s="403"/>
      <c r="I23" s="275">
        <v>641.5</v>
      </c>
      <c r="J23" s="275">
        <v>47.4</v>
      </c>
      <c r="K23" s="275">
        <v>99.6</v>
      </c>
      <c r="L23" s="275"/>
      <c r="M23" s="275">
        <v>517.6</v>
      </c>
      <c r="N23" s="275"/>
      <c r="O23" s="275"/>
      <c r="P23" s="275">
        <v>13.2</v>
      </c>
      <c r="Q23" s="275"/>
      <c r="R23" s="275"/>
      <c r="S23" s="275">
        <v>40</v>
      </c>
      <c r="T23" s="275"/>
      <c r="U23" s="275"/>
      <c r="V23" s="275"/>
      <c r="W23" s="275">
        <v>40</v>
      </c>
      <c r="X23" s="275"/>
      <c r="Y23" s="275"/>
      <c r="Z23" s="416">
        <f>SUM(G23:Y23)</f>
        <v>10049.1</v>
      </c>
      <c r="AA23" s="416"/>
      <c r="AB23" s="416"/>
      <c r="AC23" s="275"/>
      <c r="AD23" s="275"/>
      <c r="AE23" s="275"/>
      <c r="AF23" s="387">
        <f>SUM(AC23:AE23)</f>
        <v>0</v>
      </c>
      <c r="AG23" s="405">
        <f t="shared" si="4"/>
        <v>10049.1</v>
      </c>
      <c r="AH23" s="406">
        <f>B23+F23-AG23</f>
        <v>0</v>
      </c>
    </row>
    <row r="24" spans="1:34" s="263" customFormat="1" ht="28.5" customHeight="1" thickBot="1">
      <c r="A24" s="264" t="s">
        <v>204</v>
      </c>
      <c r="B24" s="256">
        <f aca="true" t="shared" si="7" ref="B24:K24">SUM(B19:B23)</f>
        <v>0</v>
      </c>
      <c r="C24" s="257">
        <f t="shared" si="7"/>
        <v>0</v>
      </c>
      <c r="D24" s="257">
        <f t="shared" si="7"/>
        <v>3967.4</v>
      </c>
      <c r="E24" s="265">
        <f t="shared" si="7"/>
        <v>111329.6</v>
      </c>
      <c r="F24" s="276">
        <f t="shared" si="0"/>
        <v>115297</v>
      </c>
      <c r="G24" s="259">
        <f t="shared" si="7"/>
        <v>104406.1</v>
      </c>
      <c r="H24" s="259"/>
      <c r="I24" s="260">
        <f t="shared" si="7"/>
        <v>5528.900000000001</v>
      </c>
      <c r="J24" s="260">
        <f t="shared" si="7"/>
        <v>510.4</v>
      </c>
      <c r="K24" s="260">
        <f t="shared" si="7"/>
        <v>538.3000000000001</v>
      </c>
      <c r="L24" s="260">
        <f aca="true" t="shared" si="8" ref="L24:R24">SUM(L19:L23)</f>
        <v>0</v>
      </c>
      <c r="M24" s="260">
        <f t="shared" si="8"/>
        <v>3090.2000000000003</v>
      </c>
      <c r="N24" s="260">
        <f t="shared" si="8"/>
        <v>0</v>
      </c>
      <c r="O24" s="260">
        <f t="shared" si="8"/>
        <v>0</v>
      </c>
      <c r="P24" s="260">
        <f t="shared" si="8"/>
        <v>182.5</v>
      </c>
      <c r="Q24" s="260">
        <f t="shared" si="8"/>
        <v>0</v>
      </c>
      <c r="R24" s="260">
        <f t="shared" si="8"/>
        <v>0</v>
      </c>
      <c r="S24" s="260">
        <f aca="true" t="shared" si="9" ref="S24:Y24">SUM(S19:S23)</f>
        <v>473.6</v>
      </c>
      <c r="T24" s="260">
        <f t="shared" si="9"/>
        <v>0</v>
      </c>
      <c r="U24" s="260">
        <f t="shared" si="9"/>
        <v>0</v>
      </c>
      <c r="V24" s="260">
        <f t="shared" si="9"/>
        <v>35</v>
      </c>
      <c r="W24" s="260">
        <f t="shared" si="9"/>
        <v>402</v>
      </c>
      <c r="X24" s="260">
        <f t="shared" si="9"/>
        <v>0</v>
      </c>
      <c r="Y24" s="260">
        <f t="shared" si="9"/>
        <v>0</v>
      </c>
      <c r="Z24" s="260">
        <f aca="true" t="shared" si="10" ref="Z24:AH24">SUM(Z19:Z23)</f>
        <v>115167</v>
      </c>
      <c r="AA24" s="260">
        <f t="shared" si="10"/>
        <v>0</v>
      </c>
      <c r="AB24" s="260">
        <f t="shared" si="10"/>
        <v>0</v>
      </c>
      <c r="AC24" s="260">
        <f t="shared" si="10"/>
        <v>0</v>
      </c>
      <c r="AD24" s="260">
        <f t="shared" si="10"/>
        <v>130</v>
      </c>
      <c r="AE24" s="260">
        <f t="shared" si="10"/>
        <v>0</v>
      </c>
      <c r="AF24" s="261">
        <f t="shared" si="10"/>
        <v>130</v>
      </c>
      <c r="AG24" s="262">
        <f t="shared" si="10"/>
        <v>115297</v>
      </c>
      <c r="AH24" s="262">
        <f t="shared" si="10"/>
        <v>0</v>
      </c>
    </row>
    <row r="25" spans="1:34" s="273" customFormat="1" ht="28.5" customHeight="1" thickBot="1">
      <c r="A25" s="407" t="s">
        <v>215</v>
      </c>
      <c r="B25" s="381"/>
      <c r="C25" s="382"/>
      <c r="D25" s="382"/>
      <c r="E25" s="417">
        <v>16617.5</v>
      </c>
      <c r="F25" s="384">
        <f t="shared" si="0"/>
        <v>16617.5</v>
      </c>
      <c r="G25" s="393">
        <v>15986.3</v>
      </c>
      <c r="H25" s="393"/>
      <c r="I25" s="393">
        <v>374.3</v>
      </c>
      <c r="J25" s="393">
        <v>68.1</v>
      </c>
      <c r="K25" s="393">
        <v>100.8</v>
      </c>
      <c r="L25" s="393"/>
      <c r="M25" s="393"/>
      <c r="N25" s="393"/>
      <c r="O25" s="393"/>
      <c r="P25" s="393"/>
      <c r="Q25" s="393"/>
      <c r="R25" s="393"/>
      <c r="S25" s="393">
        <v>28</v>
      </c>
      <c r="T25" s="393"/>
      <c r="U25" s="393"/>
      <c r="V25" s="393"/>
      <c r="W25" s="393">
        <v>60</v>
      </c>
      <c r="X25" s="393"/>
      <c r="Y25" s="393"/>
      <c r="Z25" s="412">
        <f>SUM(G25:Y25)</f>
        <v>16617.499999999996</v>
      </c>
      <c r="AA25" s="554"/>
      <c r="AB25" s="554"/>
      <c r="AC25" s="393"/>
      <c r="AD25" s="393"/>
      <c r="AE25" s="393"/>
      <c r="AF25" s="387">
        <f>SUM(AA25:AE25)</f>
        <v>0</v>
      </c>
      <c r="AG25" s="552">
        <f t="shared" si="4"/>
        <v>16617.499999999996</v>
      </c>
      <c r="AH25" s="553">
        <f>B25+F25-AG25</f>
        <v>0</v>
      </c>
    </row>
    <row r="26" spans="1:34" s="273" customFormat="1" ht="28.5" customHeight="1">
      <c r="A26" s="414" t="s">
        <v>206</v>
      </c>
      <c r="B26" s="390"/>
      <c r="C26" s="391"/>
      <c r="D26" s="391"/>
      <c r="E26" s="418">
        <v>12434.1</v>
      </c>
      <c r="F26" s="384">
        <f>SUM(C26:E26)</f>
        <v>12434.1</v>
      </c>
      <c r="G26" s="393">
        <v>9769.3</v>
      </c>
      <c r="H26" s="393"/>
      <c r="I26" s="274">
        <v>574</v>
      </c>
      <c r="J26" s="274">
        <v>222.3</v>
      </c>
      <c r="K26" s="274">
        <v>42</v>
      </c>
      <c r="L26" s="274"/>
      <c r="M26" s="274"/>
      <c r="N26" s="274"/>
      <c r="O26" s="274"/>
      <c r="P26" s="274"/>
      <c r="Q26" s="274"/>
      <c r="R26" s="274"/>
      <c r="S26" s="274">
        <v>37</v>
      </c>
      <c r="T26" s="274">
        <v>100</v>
      </c>
      <c r="U26" s="274">
        <v>100</v>
      </c>
      <c r="V26" s="274"/>
      <c r="W26" s="274">
        <v>709.5</v>
      </c>
      <c r="X26" s="274"/>
      <c r="Y26" s="274"/>
      <c r="Z26" s="412">
        <f>SUM(G26:Y26)</f>
        <v>11554.099999999999</v>
      </c>
      <c r="AA26" s="412">
        <v>880</v>
      </c>
      <c r="AB26" s="412"/>
      <c r="AC26" s="274"/>
      <c r="AD26" s="274"/>
      <c r="AE26" s="274"/>
      <c r="AF26" s="387">
        <f>SUM(AA26:AE26)</f>
        <v>880</v>
      </c>
      <c r="AG26" s="388">
        <f t="shared" si="4"/>
        <v>12434.099999999999</v>
      </c>
      <c r="AH26" s="389">
        <f>B26+F26-AG26</f>
        <v>0</v>
      </c>
    </row>
    <row r="27" spans="1:34" s="273" customFormat="1" ht="28.5" customHeight="1">
      <c r="A27" s="414" t="s">
        <v>207</v>
      </c>
      <c r="B27" s="390"/>
      <c r="C27" s="391"/>
      <c r="D27" s="391"/>
      <c r="E27" s="418">
        <v>20125</v>
      </c>
      <c r="F27" s="384">
        <f>SUM(C27:E27)</f>
        <v>20125</v>
      </c>
      <c r="G27" s="393">
        <v>19603.8</v>
      </c>
      <c r="H27" s="393"/>
      <c r="I27" s="274">
        <v>97.7</v>
      </c>
      <c r="J27" s="274">
        <v>44</v>
      </c>
      <c r="K27" s="274">
        <v>141.6</v>
      </c>
      <c r="L27" s="274"/>
      <c r="M27" s="274"/>
      <c r="N27" s="274">
        <v>57.9</v>
      </c>
      <c r="O27" s="274"/>
      <c r="P27" s="274"/>
      <c r="Q27" s="274"/>
      <c r="R27" s="274"/>
      <c r="S27" s="274">
        <v>80</v>
      </c>
      <c r="T27" s="274"/>
      <c r="U27" s="274"/>
      <c r="V27" s="274"/>
      <c r="W27" s="274">
        <v>100</v>
      </c>
      <c r="X27" s="274"/>
      <c r="Y27" s="274"/>
      <c r="Z27" s="412">
        <f>SUM(G27:Y27)</f>
        <v>20125</v>
      </c>
      <c r="AA27" s="412"/>
      <c r="AB27" s="412"/>
      <c r="AC27" s="274"/>
      <c r="AD27" s="274"/>
      <c r="AE27" s="274"/>
      <c r="AF27" s="387">
        <f>SUM(AA27:AE27)</f>
        <v>0</v>
      </c>
      <c r="AG27" s="388">
        <f t="shared" si="4"/>
        <v>20125</v>
      </c>
      <c r="AH27" s="389">
        <f>B27+F27-AG27</f>
        <v>0</v>
      </c>
    </row>
    <row r="28" spans="1:34" s="273" customFormat="1" ht="28.5" customHeight="1">
      <c r="A28" s="414" t="s">
        <v>208</v>
      </c>
      <c r="B28" s="390"/>
      <c r="C28" s="391"/>
      <c r="D28" s="391"/>
      <c r="E28" s="418">
        <v>22953.4</v>
      </c>
      <c r="F28" s="384">
        <f t="shared" si="0"/>
        <v>22953.4</v>
      </c>
      <c r="G28" s="393">
        <v>8663.6</v>
      </c>
      <c r="H28" s="393"/>
      <c r="I28" s="274">
        <v>8569</v>
      </c>
      <c r="J28" s="274"/>
      <c r="K28" s="274">
        <v>42</v>
      </c>
      <c r="L28" s="274"/>
      <c r="M28" s="274"/>
      <c r="N28" s="274"/>
      <c r="O28" s="274"/>
      <c r="P28" s="274"/>
      <c r="Q28" s="274"/>
      <c r="R28" s="274">
        <v>1720.5</v>
      </c>
      <c r="S28" s="274">
        <v>60</v>
      </c>
      <c r="T28" s="274"/>
      <c r="U28" s="274">
        <v>399.9</v>
      </c>
      <c r="V28" s="274"/>
      <c r="W28" s="274">
        <v>3498.4</v>
      </c>
      <c r="X28" s="274"/>
      <c r="Y28" s="274"/>
      <c r="Z28" s="412">
        <f>SUM(G28:Y28)</f>
        <v>22953.4</v>
      </c>
      <c r="AA28" s="412"/>
      <c r="AB28" s="412"/>
      <c r="AC28" s="274"/>
      <c r="AD28" s="274"/>
      <c r="AE28" s="274"/>
      <c r="AF28" s="387">
        <f>SUM(AA28:AE28)</f>
        <v>0</v>
      </c>
      <c r="AG28" s="388">
        <f t="shared" si="4"/>
        <v>22953.4</v>
      </c>
      <c r="AH28" s="389">
        <f>B28+F28-AG28</f>
        <v>0</v>
      </c>
    </row>
    <row r="29" spans="1:34" s="273" customFormat="1" ht="28.5" customHeight="1" thickBot="1">
      <c r="A29" s="414" t="s">
        <v>114</v>
      </c>
      <c r="B29" s="399"/>
      <c r="C29" s="400"/>
      <c r="D29" s="400"/>
      <c r="E29" s="419">
        <v>30475.6</v>
      </c>
      <c r="F29" s="402">
        <f t="shared" si="0"/>
        <v>30475.6</v>
      </c>
      <c r="G29" s="403">
        <v>4356</v>
      </c>
      <c r="H29" s="403">
        <v>528</v>
      </c>
      <c r="I29" s="275">
        <v>19260.5</v>
      </c>
      <c r="J29" s="275"/>
      <c r="K29" s="275">
        <v>85.4</v>
      </c>
      <c r="L29" s="275">
        <v>19</v>
      </c>
      <c r="M29" s="275"/>
      <c r="N29" s="275"/>
      <c r="O29" s="275"/>
      <c r="P29" s="275"/>
      <c r="Q29" s="275"/>
      <c r="R29" s="275"/>
      <c r="S29" s="275">
        <v>40</v>
      </c>
      <c r="T29" s="275"/>
      <c r="U29" s="275">
        <v>1598</v>
      </c>
      <c r="V29" s="275"/>
      <c r="W29" s="275">
        <v>4549.5</v>
      </c>
      <c r="X29" s="275"/>
      <c r="Y29" s="275">
        <v>39.2</v>
      </c>
      <c r="Z29" s="416">
        <f>SUM(G29:Y29)</f>
        <v>30475.600000000002</v>
      </c>
      <c r="AA29" s="416"/>
      <c r="AB29" s="416"/>
      <c r="AC29" s="275"/>
      <c r="AD29" s="275"/>
      <c r="AE29" s="275"/>
      <c r="AF29" s="387">
        <f>SUM(AA29:AE29)</f>
        <v>0</v>
      </c>
      <c r="AG29" s="405">
        <f t="shared" si="4"/>
        <v>30475.600000000002</v>
      </c>
      <c r="AH29" s="406">
        <f>B29+F29-AG29</f>
        <v>0</v>
      </c>
    </row>
    <row r="30" spans="1:34" s="271" customFormat="1" ht="33" customHeight="1" thickBot="1">
      <c r="A30" s="264" t="s">
        <v>144</v>
      </c>
      <c r="B30" s="266">
        <f>SUM(B18+B24+B25+B26+B27+B28+B29)</f>
        <v>38.800000000000004</v>
      </c>
      <c r="C30" s="268">
        <f aca="true" t="shared" si="11" ref="C30:AH30">SUM(C18+C24+C25+C26+C27+C28+C29)</f>
        <v>130</v>
      </c>
      <c r="D30" s="266">
        <f t="shared" si="11"/>
        <v>3967.4</v>
      </c>
      <c r="E30" s="267">
        <f t="shared" si="11"/>
        <v>519532.29999999993</v>
      </c>
      <c r="F30" s="277">
        <f t="shared" si="0"/>
        <v>523629.69999999995</v>
      </c>
      <c r="G30" s="266">
        <f t="shared" si="11"/>
        <v>384032.39999999997</v>
      </c>
      <c r="H30" s="266">
        <f t="shared" si="11"/>
        <v>528</v>
      </c>
      <c r="I30" s="266">
        <f t="shared" si="11"/>
        <v>44084.8</v>
      </c>
      <c r="J30" s="266">
        <f t="shared" si="11"/>
        <v>3153.1000000000004</v>
      </c>
      <c r="K30" s="266">
        <f t="shared" si="11"/>
        <v>2153.7000000000003</v>
      </c>
      <c r="L30" s="266">
        <f t="shared" si="11"/>
        <v>19</v>
      </c>
      <c r="M30" s="266">
        <f t="shared" si="11"/>
        <v>3090.2000000000003</v>
      </c>
      <c r="N30" s="266">
        <f t="shared" si="11"/>
        <v>57.9</v>
      </c>
      <c r="O30" s="268">
        <f t="shared" si="11"/>
        <v>25.2</v>
      </c>
      <c r="P30" s="266">
        <f t="shared" si="11"/>
        <v>3134.1000000000004</v>
      </c>
      <c r="Q30" s="266">
        <f t="shared" si="11"/>
        <v>439.4</v>
      </c>
      <c r="R30" s="266">
        <f t="shared" si="11"/>
        <v>2173.1</v>
      </c>
      <c r="S30" s="266">
        <f t="shared" si="11"/>
        <v>2588.6</v>
      </c>
      <c r="T30" s="266">
        <f t="shared" si="11"/>
        <v>100</v>
      </c>
      <c r="U30" s="266">
        <f t="shared" si="11"/>
        <v>2097.9</v>
      </c>
      <c r="V30" s="266">
        <f t="shared" si="11"/>
        <v>697</v>
      </c>
      <c r="W30" s="266">
        <f t="shared" si="11"/>
        <v>71518.5</v>
      </c>
      <c r="X30" s="266">
        <f t="shared" si="11"/>
        <v>801.6</v>
      </c>
      <c r="Y30" s="266">
        <f t="shared" si="11"/>
        <v>39.2</v>
      </c>
      <c r="Z30" s="266">
        <f t="shared" si="11"/>
        <v>520733.69999999995</v>
      </c>
      <c r="AA30" s="266">
        <f t="shared" si="11"/>
        <v>880</v>
      </c>
      <c r="AB30" s="266">
        <f t="shared" si="11"/>
        <v>145</v>
      </c>
      <c r="AC30" s="266">
        <f t="shared" si="11"/>
        <v>0</v>
      </c>
      <c r="AD30" s="266">
        <f>SUM(AD18+AD24+AD25+AD26+AD27+AD28+AD29)</f>
        <v>1122</v>
      </c>
      <c r="AE30" s="266">
        <f t="shared" si="11"/>
        <v>754</v>
      </c>
      <c r="AF30" s="267">
        <f t="shared" si="11"/>
        <v>2901</v>
      </c>
      <c r="AG30" s="269">
        <f t="shared" si="11"/>
        <v>523634.69999999995</v>
      </c>
      <c r="AH30" s="270">
        <f t="shared" si="11"/>
        <v>33.800000000010186</v>
      </c>
    </row>
  </sheetData>
  <sheetProtection/>
  <mergeCells count="1">
    <mergeCell ref="A2:N2"/>
  </mergeCells>
  <printOptions/>
  <pageMargins left="0.69" right="0.15748031496062992" top="0.15748031496062992" bottom="0.11811023622047245" header="0.15748031496062992" footer="0.11811023622047245"/>
  <pageSetup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P61"/>
  <sheetViews>
    <sheetView view="pageBreakPreview" zoomScale="110" zoomScaleSheetLayoutView="110" workbookViewId="0" topLeftCell="A1">
      <pane xSplit="1" ySplit="3" topLeftCell="B20" activePane="bottomRight" state="frozen"/>
      <selection pane="topLeft" activeCell="A1" sqref="A1"/>
      <selection pane="topRight" activeCell="B1" sqref="B1"/>
      <selection pane="bottomLeft" activeCell="A4" sqref="A4"/>
      <selection pane="bottomRight" activeCell="K28" sqref="K28"/>
    </sheetView>
  </sheetViews>
  <sheetFormatPr defaultColWidth="9.140625" defaultRowHeight="12.75"/>
  <cols>
    <col min="1" max="1" width="21.7109375" style="11" customWidth="1"/>
    <col min="2" max="2" width="11.00390625" style="11" customWidth="1"/>
    <col min="3" max="4" width="8.28125" style="11" customWidth="1"/>
    <col min="5" max="5" width="7.57421875" style="11" hidden="1" customWidth="1"/>
    <col min="6" max="7" width="8.28125" style="333" customWidth="1"/>
    <col min="8" max="8" width="8.28125" style="11" customWidth="1"/>
    <col min="9" max="9" width="7.8515625" style="11" customWidth="1"/>
    <col min="10" max="11" width="10.140625" style="333" customWidth="1"/>
    <col min="12" max="12" width="10.8515625" style="11" customWidth="1"/>
    <col min="13" max="13" width="10.00390625" style="11" customWidth="1"/>
    <col min="14" max="14" width="9.140625" style="11" customWidth="1"/>
    <col min="15" max="16" width="8.00390625" style="11" customWidth="1"/>
    <col min="17" max="17" width="8.28125" style="11" customWidth="1"/>
    <col min="18" max="18" width="8.421875" style="11" customWidth="1"/>
    <col min="19" max="19" width="5.28125" style="11" customWidth="1"/>
    <col min="20" max="20" width="6.00390625" style="226" customWidth="1"/>
    <col min="21" max="21" width="7.8515625" style="11" customWidth="1"/>
    <col min="22" max="22" width="6.7109375" style="225" customWidth="1"/>
    <col min="23" max="23" width="6.8515625" style="11" customWidth="1"/>
    <col min="24" max="24" width="8.140625" style="11" customWidth="1"/>
    <col min="25" max="25" width="5.57421875" style="11" customWidth="1"/>
    <col min="26" max="26" width="7.421875" style="11" customWidth="1"/>
    <col min="27" max="27" width="6.57421875" style="11" customWidth="1"/>
    <col min="28" max="28" width="8.8515625" style="11" customWidth="1"/>
    <col min="29" max="29" width="6.28125" style="11" customWidth="1"/>
    <col min="30" max="30" width="6.57421875" style="11" customWidth="1"/>
    <col min="31" max="31" width="9.7109375" style="333" customWidth="1"/>
    <col min="32" max="32" width="5.8515625" style="333" customWidth="1"/>
    <col min="33" max="33" width="6.8515625" style="333" customWidth="1"/>
    <col min="34" max="34" width="6.00390625" style="11" customWidth="1"/>
    <col min="35" max="35" width="7.140625" style="11" customWidth="1"/>
    <col min="36" max="36" width="8.28125" style="11" customWidth="1"/>
    <col min="37" max="37" width="8.28125" style="333" customWidth="1"/>
    <col min="38" max="38" width="9.7109375" style="333" customWidth="1"/>
    <col min="39" max="39" width="10.140625" style="11" customWidth="1"/>
    <col min="40" max="40" width="8.140625" style="11" customWidth="1"/>
    <col min="41" max="41" width="7.140625" style="11" customWidth="1"/>
    <col min="42" max="43" width="7.8515625" style="11" customWidth="1"/>
    <col min="44" max="44" width="9.7109375" style="11" customWidth="1"/>
    <col min="45" max="45" width="10.8515625" style="11" customWidth="1"/>
    <col min="46" max="46" width="7.8515625" style="11" customWidth="1"/>
    <col min="47" max="47" width="9.00390625" style="11" customWidth="1"/>
    <col min="48" max="50" width="7.8515625" style="18" customWidth="1"/>
    <col min="51" max="52" width="5.140625" style="18" customWidth="1"/>
    <col min="53" max="53" width="7.421875" style="18" customWidth="1"/>
    <col min="54" max="54" width="8.7109375" style="18" customWidth="1"/>
    <col min="55" max="55" width="5.140625" style="18" customWidth="1"/>
    <col min="56" max="56" width="5.7109375" style="18" customWidth="1"/>
    <col min="57" max="57" width="9.8515625" style="347" customWidth="1"/>
    <col min="58" max="58" width="6.00390625" style="18" customWidth="1"/>
    <col min="59" max="59" width="7.00390625" style="18" customWidth="1"/>
    <col min="60" max="60" width="5.28125" style="18" customWidth="1"/>
    <col min="61" max="61" width="7.140625" style="18" customWidth="1"/>
    <col min="62" max="62" width="9.28125" style="347" customWidth="1"/>
    <col min="63" max="63" width="5.28125" style="18" customWidth="1"/>
    <col min="64" max="64" width="8.57421875" style="18" customWidth="1"/>
    <col min="65" max="65" width="9.421875" style="11" customWidth="1"/>
    <col min="66" max="66" width="9.28125" style="333" customWidth="1"/>
    <col min="67" max="67" width="11.140625" style="227" bestFit="1" customWidth="1"/>
    <col min="68" max="16384" width="9.140625" style="11" customWidth="1"/>
  </cols>
  <sheetData>
    <row r="1" spans="1:67" s="279" customFormat="1" ht="20.25" customHeight="1" thickBot="1">
      <c r="A1" s="587" t="s">
        <v>240</v>
      </c>
      <c r="B1" s="587"/>
      <c r="C1" s="587"/>
      <c r="D1" s="587"/>
      <c r="E1" s="587"/>
      <c r="F1" s="587"/>
      <c r="G1" s="587"/>
      <c r="H1" s="587"/>
      <c r="I1" s="587"/>
      <c r="J1" s="587"/>
      <c r="K1" s="587"/>
      <c r="L1" s="587"/>
      <c r="M1" s="587"/>
      <c r="N1" s="587"/>
      <c r="O1" s="587"/>
      <c r="P1" s="587"/>
      <c r="Q1" s="587"/>
      <c r="R1" s="587"/>
      <c r="S1" s="587"/>
      <c r="T1" s="587"/>
      <c r="U1" s="587"/>
      <c r="V1" s="587"/>
      <c r="W1" s="587"/>
      <c r="X1" s="587"/>
      <c r="Y1" s="587"/>
      <c r="Z1" s="587"/>
      <c r="AA1" s="587"/>
      <c r="AB1" s="587"/>
      <c r="AC1" s="587"/>
      <c r="AD1" s="587"/>
      <c r="AE1" s="587"/>
      <c r="AF1" s="587"/>
      <c r="AG1" s="587"/>
      <c r="AH1" s="587"/>
      <c r="AI1" s="587"/>
      <c r="AJ1" s="587"/>
      <c r="AK1" s="587"/>
      <c r="AL1" s="587"/>
      <c r="AM1" s="587"/>
      <c r="AN1" s="587"/>
      <c r="AO1" s="587"/>
      <c r="AP1" s="587"/>
      <c r="AQ1" s="587"/>
      <c r="AR1" s="587"/>
      <c r="AS1" s="587"/>
      <c r="AT1" s="587"/>
      <c r="AU1" s="587"/>
      <c r="AV1" s="587"/>
      <c r="AW1" s="587"/>
      <c r="AX1" s="587"/>
      <c r="AY1" s="587"/>
      <c r="AZ1" s="587"/>
      <c r="BA1" s="587"/>
      <c r="BB1" s="587"/>
      <c r="BC1" s="587"/>
      <c r="BD1" s="587"/>
      <c r="BE1" s="587"/>
      <c r="BF1" s="587"/>
      <c r="BG1" s="587"/>
      <c r="BH1" s="587"/>
      <c r="BI1" s="587"/>
      <c r="BJ1" s="587"/>
      <c r="BK1" s="587"/>
      <c r="BL1" s="587"/>
      <c r="BM1" s="587"/>
      <c r="BN1" s="587"/>
      <c r="BO1" s="278"/>
    </row>
    <row r="2" spans="1:67" s="279" customFormat="1" ht="30" customHeight="1" thickBot="1">
      <c r="A2" s="580"/>
      <c r="B2" s="588" t="s">
        <v>232</v>
      </c>
      <c r="C2" s="482" t="s">
        <v>228</v>
      </c>
      <c r="D2" s="483"/>
      <c r="E2" s="483"/>
      <c r="F2" s="483"/>
      <c r="G2" s="484"/>
      <c r="H2" s="582"/>
      <c r="I2" s="582"/>
      <c r="J2" s="582"/>
      <c r="K2" s="583"/>
      <c r="L2" s="584" t="s">
        <v>121</v>
      </c>
      <c r="M2" s="585"/>
      <c r="N2" s="585"/>
      <c r="O2" s="585"/>
      <c r="P2" s="585"/>
      <c r="Q2" s="585"/>
      <c r="R2" s="585"/>
      <c r="S2" s="585"/>
      <c r="T2" s="585"/>
      <c r="U2" s="585"/>
      <c r="V2" s="585"/>
      <c r="W2" s="585"/>
      <c r="X2" s="585"/>
      <c r="Y2" s="585"/>
      <c r="Z2" s="585"/>
      <c r="AA2" s="585"/>
      <c r="AB2" s="585"/>
      <c r="AC2" s="585"/>
      <c r="AD2" s="585"/>
      <c r="AE2" s="585"/>
      <c r="AF2" s="585"/>
      <c r="AG2" s="585"/>
      <c r="AH2" s="585"/>
      <c r="AI2" s="585"/>
      <c r="AJ2" s="585"/>
      <c r="AK2" s="585"/>
      <c r="AL2" s="586"/>
      <c r="AM2" s="577" t="s">
        <v>241</v>
      </c>
      <c r="AN2" s="578"/>
      <c r="AO2" s="578"/>
      <c r="AP2" s="578"/>
      <c r="AQ2" s="578"/>
      <c r="AR2" s="578"/>
      <c r="AS2" s="578"/>
      <c r="AT2" s="578"/>
      <c r="AU2" s="578"/>
      <c r="AV2" s="578"/>
      <c r="AW2" s="578"/>
      <c r="AX2" s="578"/>
      <c r="AY2" s="578"/>
      <c r="AZ2" s="578"/>
      <c r="BA2" s="578"/>
      <c r="BB2" s="578"/>
      <c r="BC2" s="578"/>
      <c r="BD2" s="578"/>
      <c r="BE2" s="578"/>
      <c r="BF2" s="578"/>
      <c r="BG2" s="578"/>
      <c r="BH2" s="578"/>
      <c r="BI2" s="578"/>
      <c r="BJ2" s="578"/>
      <c r="BK2" s="578"/>
      <c r="BL2" s="578"/>
      <c r="BM2" s="578"/>
      <c r="BN2" s="579"/>
      <c r="BO2" s="278"/>
    </row>
    <row r="3" spans="1:67" s="295" customFormat="1" ht="78.75" customHeight="1" thickBot="1">
      <c r="A3" s="581"/>
      <c r="B3" s="589"/>
      <c r="C3" s="280" t="s">
        <v>118</v>
      </c>
      <c r="D3" s="281" t="s">
        <v>5</v>
      </c>
      <c r="E3" s="228" t="s">
        <v>6</v>
      </c>
      <c r="F3" s="328" t="s">
        <v>119</v>
      </c>
      <c r="G3" s="334" t="s">
        <v>120</v>
      </c>
      <c r="H3" s="282" t="s">
        <v>116</v>
      </c>
      <c r="I3" s="282" t="s">
        <v>106</v>
      </c>
      <c r="J3" s="337" t="s">
        <v>117</v>
      </c>
      <c r="K3" s="338" t="s">
        <v>115</v>
      </c>
      <c r="L3" s="283">
        <v>4111</v>
      </c>
      <c r="M3" s="283">
        <v>4112</v>
      </c>
      <c r="N3" s="284">
        <v>4212</v>
      </c>
      <c r="O3" s="284">
        <v>4213</v>
      </c>
      <c r="P3" s="284">
        <v>4214</v>
      </c>
      <c r="Q3" s="284">
        <v>4215</v>
      </c>
      <c r="R3" s="285" t="s">
        <v>169</v>
      </c>
      <c r="S3" s="284">
        <v>4234</v>
      </c>
      <c r="T3" s="284">
        <v>4239</v>
      </c>
      <c r="U3" s="284">
        <v>4241</v>
      </c>
      <c r="V3" s="284">
        <v>4251</v>
      </c>
      <c r="W3" s="284">
        <v>4252</v>
      </c>
      <c r="X3" s="284">
        <v>4261</v>
      </c>
      <c r="Y3" s="284">
        <v>4262</v>
      </c>
      <c r="Z3" s="284" t="s">
        <v>51</v>
      </c>
      <c r="AA3" s="284">
        <v>4266</v>
      </c>
      <c r="AB3" s="284" t="s">
        <v>52</v>
      </c>
      <c r="AC3" s="284" t="s">
        <v>2</v>
      </c>
      <c r="AD3" s="284">
        <v>4823</v>
      </c>
      <c r="AE3" s="341" t="s">
        <v>209</v>
      </c>
      <c r="AF3" s="341">
        <v>5111</v>
      </c>
      <c r="AG3" s="341">
        <v>5112</v>
      </c>
      <c r="AH3" s="286" t="s">
        <v>56</v>
      </c>
      <c r="AI3" s="286" t="s">
        <v>50</v>
      </c>
      <c r="AJ3" s="286" t="s">
        <v>58</v>
      </c>
      <c r="AK3" s="341" t="s">
        <v>210</v>
      </c>
      <c r="AL3" s="349" t="s">
        <v>211</v>
      </c>
      <c r="AM3" s="287">
        <v>4111</v>
      </c>
      <c r="AN3" s="288">
        <v>4212</v>
      </c>
      <c r="AO3" s="288">
        <v>4213</v>
      </c>
      <c r="AP3" s="288">
        <v>4214</v>
      </c>
      <c r="AQ3" s="288">
        <v>4215</v>
      </c>
      <c r="AR3" s="289" t="s">
        <v>169</v>
      </c>
      <c r="AS3" s="288">
        <v>4234</v>
      </c>
      <c r="AT3" s="288">
        <v>4239</v>
      </c>
      <c r="AU3" s="288">
        <v>4241</v>
      </c>
      <c r="AV3" s="288">
        <v>4251</v>
      </c>
      <c r="AW3" s="288">
        <v>4252</v>
      </c>
      <c r="AX3" s="288">
        <v>4261</v>
      </c>
      <c r="AY3" s="288">
        <v>4262</v>
      </c>
      <c r="AZ3" s="288" t="s">
        <v>51</v>
      </c>
      <c r="BA3" s="288">
        <v>4266</v>
      </c>
      <c r="BB3" s="288" t="s">
        <v>52</v>
      </c>
      <c r="BC3" s="288" t="s">
        <v>2</v>
      </c>
      <c r="BD3" s="288">
        <v>4823</v>
      </c>
      <c r="BE3" s="344" t="s">
        <v>212</v>
      </c>
      <c r="BF3" s="290" t="s">
        <v>56</v>
      </c>
      <c r="BG3" s="290" t="s">
        <v>50</v>
      </c>
      <c r="BH3" s="290" t="s">
        <v>58</v>
      </c>
      <c r="BI3" s="291" t="s">
        <v>213</v>
      </c>
      <c r="BJ3" s="292" t="s">
        <v>214</v>
      </c>
      <c r="BK3" s="293" t="s">
        <v>116</v>
      </c>
      <c r="BL3" s="282" t="s">
        <v>106</v>
      </c>
      <c r="BM3" s="293" t="s">
        <v>117</v>
      </c>
      <c r="BN3" s="348" t="s">
        <v>115</v>
      </c>
      <c r="BO3" s="294"/>
    </row>
    <row r="4" spans="1:66" s="294" customFormat="1" ht="25.5" customHeight="1">
      <c r="A4" s="296" t="s">
        <v>187</v>
      </c>
      <c r="B4" s="476">
        <v>6.6</v>
      </c>
      <c r="C4" s="297">
        <v>93.5</v>
      </c>
      <c r="D4" s="298">
        <v>4.7</v>
      </c>
      <c r="E4" s="299"/>
      <c r="F4" s="329">
        <f>B4+C4+D4+E4</f>
        <v>104.8</v>
      </c>
      <c r="G4" s="335">
        <f>F4</f>
        <v>104.8</v>
      </c>
      <c r="H4" s="298"/>
      <c r="I4" s="298"/>
      <c r="J4" s="329">
        <f aca="true" t="shared" si="0" ref="J4:J15">AL4-H4-I4</f>
        <v>24207.199999999997</v>
      </c>
      <c r="K4" s="339">
        <f>H4+J4+I4</f>
        <v>24207.199999999997</v>
      </c>
      <c r="L4" s="385">
        <v>18437.2</v>
      </c>
      <c r="M4" s="385"/>
      <c r="N4" s="298">
        <v>519.5</v>
      </c>
      <c r="O4" s="298">
        <v>162.8</v>
      </c>
      <c r="P4" s="298">
        <v>100.8</v>
      </c>
      <c r="Q4" s="298"/>
      <c r="R4" s="298"/>
      <c r="S4" s="298"/>
      <c r="T4" s="300"/>
      <c r="U4" s="298">
        <v>207</v>
      </c>
      <c r="V4" s="301"/>
      <c r="W4" s="298"/>
      <c r="X4" s="298">
        <v>150</v>
      </c>
      <c r="Y4" s="298"/>
      <c r="Z4" s="298"/>
      <c r="AA4" s="298">
        <v>53</v>
      </c>
      <c r="AB4" s="298">
        <v>4518.4</v>
      </c>
      <c r="AC4" s="298">
        <v>58.5</v>
      </c>
      <c r="AD4" s="298"/>
      <c r="AE4" s="329">
        <f aca="true" t="shared" si="1" ref="AE4:AE15">SUM(L4:AD4)</f>
        <v>24207.199999999997</v>
      </c>
      <c r="AF4" s="329"/>
      <c r="AG4" s="329"/>
      <c r="AH4" s="298"/>
      <c r="AI4" s="298"/>
      <c r="AJ4" s="298"/>
      <c r="AK4" s="329">
        <f>SUM(AF4:AJ4)</f>
        <v>0</v>
      </c>
      <c r="AL4" s="329">
        <f>SUM(AE4,AK4)</f>
        <v>24207.199999999997</v>
      </c>
      <c r="AM4" s="298">
        <f>L4-'hoaki dram19'!G6</f>
        <v>0</v>
      </c>
      <c r="AN4" s="298">
        <f>N4-'hoaki dram19'!I6-C4</f>
        <v>-2.3000000000000114</v>
      </c>
      <c r="AO4" s="298">
        <f>O4-'hoaki dram19'!J6-D4</f>
        <v>-0.9999999999999831</v>
      </c>
      <c r="AP4" s="298">
        <f>P4-'hoaki dram19'!K6-E4</f>
        <v>0</v>
      </c>
      <c r="AQ4" s="298">
        <f>Q4-'hoaki dram19'!L6</f>
        <v>0</v>
      </c>
      <c r="AR4" s="298">
        <f>R4-'hoaki dram19'!M6</f>
        <v>0</v>
      </c>
      <c r="AS4" s="298">
        <f>S4-'hoaki dram19'!N6</f>
        <v>0</v>
      </c>
      <c r="AT4" s="298">
        <f>T4-'hoaki dram19'!O6</f>
        <v>0</v>
      </c>
      <c r="AU4" s="298">
        <f>U4-'hoaki dram19'!P6</f>
        <v>0</v>
      </c>
      <c r="AV4" s="298">
        <f>V4-'hoaki dram19'!Q6</f>
        <v>0</v>
      </c>
      <c r="AW4" s="298">
        <f>W4-'hoaki dram19'!R6</f>
        <v>0</v>
      </c>
      <c r="AX4" s="298">
        <f>X4-'hoaki dram19'!S6</f>
        <v>0</v>
      </c>
      <c r="AY4" s="298">
        <f>Y4-'hoaki dram19'!T6</f>
        <v>0</v>
      </c>
      <c r="AZ4" s="298">
        <f>Z4-'hoaki dram19'!U6</f>
        <v>0</v>
      </c>
      <c r="BA4" s="298">
        <f>AA4-'hoaki dram19'!V6</f>
        <v>0</v>
      </c>
      <c r="BB4" s="298">
        <f>AB4-'hoaki dram19'!W6</f>
        <v>0</v>
      </c>
      <c r="BC4" s="298">
        <f>AC4-'hoaki dram19'!X6</f>
        <v>0</v>
      </c>
      <c r="BD4" s="298">
        <f>AD4-'hoaki dram19'!Y6</f>
        <v>0</v>
      </c>
      <c r="BE4" s="329">
        <f aca="true" t="shared" si="2" ref="BE4:BE15">AM4+AN4+AO4+AP4+AQ4+AR4+AS4+AT4+AU4+AV4+AW4+AZ4++BB4+BC4+BD4+BA4+AX4+AY4</f>
        <v>-3.2999999999999945</v>
      </c>
      <c r="BF4" s="298">
        <f>AH4-'hoaki dram19'!AC6</f>
        <v>0</v>
      </c>
      <c r="BG4" s="298">
        <f>AI4-'hoaki dram19'!AD6</f>
        <v>0</v>
      </c>
      <c r="BH4" s="298">
        <f>AJ4-'hoaki dram19'!AE6</f>
        <v>0</v>
      </c>
      <c r="BI4" s="298">
        <f>BF4+BG4+BH4</f>
        <v>0</v>
      </c>
      <c r="BJ4" s="329">
        <f>BE4+BI4</f>
        <v>-3.2999999999999945</v>
      </c>
      <c r="BK4" s="298">
        <f>H4-'hoaki dram19'!C6</f>
        <v>0</v>
      </c>
      <c r="BL4" s="298">
        <f>I4-'hoaki dram19'!D6</f>
        <v>0</v>
      </c>
      <c r="BM4" s="298">
        <f>J4-'hoaki dram19'!E6-G4</f>
        <v>-7.90000000000218</v>
      </c>
      <c r="BN4" s="471">
        <f>BK4+BL4+BM4</f>
        <v>-7.90000000000218</v>
      </c>
    </row>
    <row r="5" spans="1:66" s="294" customFormat="1" ht="25.5" customHeight="1">
      <c r="A5" s="296" t="s">
        <v>188</v>
      </c>
      <c r="B5" s="476">
        <v>2.7</v>
      </c>
      <c r="C5" s="297">
        <v>0.4</v>
      </c>
      <c r="D5" s="298">
        <v>1</v>
      </c>
      <c r="E5" s="298"/>
      <c r="F5" s="329">
        <f aca="true" t="shared" si="3" ref="F5:F27">B5+C5+D5+E5</f>
        <v>4.1</v>
      </c>
      <c r="G5" s="335">
        <f aca="true" t="shared" si="4" ref="G5:G27">F5</f>
        <v>4.1</v>
      </c>
      <c r="H5" s="300"/>
      <c r="I5" s="300"/>
      <c r="J5" s="329">
        <f t="shared" si="0"/>
        <v>18647.5</v>
      </c>
      <c r="K5" s="339">
        <f aca="true" t="shared" si="5" ref="K5:K27">H5+J5+I5</f>
        <v>18647.5</v>
      </c>
      <c r="L5" s="393">
        <v>14437.2</v>
      </c>
      <c r="M5" s="385"/>
      <c r="N5" s="298">
        <v>468.5</v>
      </c>
      <c r="O5" s="298">
        <v>152.2</v>
      </c>
      <c r="P5" s="298">
        <v>99.6</v>
      </c>
      <c r="Q5" s="300"/>
      <c r="R5" s="300"/>
      <c r="S5" s="300"/>
      <c r="T5" s="300"/>
      <c r="U5" s="300">
        <v>171</v>
      </c>
      <c r="V5" s="302"/>
      <c r="W5" s="300"/>
      <c r="X5" s="300">
        <v>110</v>
      </c>
      <c r="Y5" s="300"/>
      <c r="Z5" s="300"/>
      <c r="AA5" s="300">
        <v>48</v>
      </c>
      <c r="AB5" s="300">
        <v>3118.7</v>
      </c>
      <c r="AC5" s="300">
        <v>42.3</v>
      </c>
      <c r="AD5" s="300"/>
      <c r="AE5" s="342">
        <f t="shared" si="1"/>
        <v>18647.5</v>
      </c>
      <c r="AF5" s="342"/>
      <c r="AG5" s="342"/>
      <c r="AH5" s="300"/>
      <c r="AI5" s="300"/>
      <c r="AJ5" s="300"/>
      <c r="AK5" s="329">
        <f aca="true" t="shared" si="6" ref="AK5:AK15">SUM(AF5:AJ5)</f>
        <v>0</v>
      </c>
      <c r="AL5" s="342">
        <f aca="true" t="shared" si="7" ref="AL5:AL15">SUM(AE5,AK5)</f>
        <v>18647.5</v>
      </c>
      <c r="AM5" s="298">
        <f>L5-'hoaki dram19'!G7</f>
        <v>0</v>
      </c>
      <c r="AN5" s="298">
        <f>N5-'hoaki dram19'!I7-C5</f>
        <v>-2.275957200481571E-14</v>
      </c>
      <c r="AO5" s="298">
        <f>O5-'hoaki dram19'!J7-D5</f>
        <v>-1.5</v>
      </c>
      <c r="AP5" s="298">
        <f>P5-'hoaki dram19'!K7-E5</f>
        <v>0</v>
      </c>
      <c r="AQ5" s="298">
        <f>Q5-'hoaki dram19'!L7</f>
        <v>0</v>
      </c>
      <c r="AR5" s="298">
        <f>R5-'hoaki dram19'!M7</f>
        <v>0</v>
      </c>
      <c r="AS5" s="298">
        <f>S5-'hoaki dram19'!N7</f>
        <v>0</v>
      </c>
      <c r="AT5" s="298">
        <f>T5-'hoaki dram19'!O7</f>
        <v>0</v>
      </c>
      <c r="AU5" s="298">
        <f>U5-'hoaki dram19'!P7</f>
        <v>0</v>
      </c>
      <c r="AV5" s="298">
        <f>V5-'hoaki dram19'!Q7</f>
        <v>0</v>
      </c>
      <c r="AW5" s="298">
        <f>W5-'hoaki dram19'!R7</f>
        <v>0</v>
      </c>
      <c r="AX5" s="298">
        <f>X5-'hoaki dram19'!S7</f>
        <v>0</v>
      </c>
      <c r="AY5" s="298">
        <f>Y5-'hoaki dram19'!T7</f>
        <v>0</v>
      </c>
      <c r="AZ5" s="298">
        <f>Z5-'hoaki dram19'!U7</f>
        <v>0</v>
      </c>
      <c r="BA5" s="298">
        <f>AA5-'hoaki dram19'!V7</f>
        <v>0</v>
      </c>
      <c r="BB5" s="298">
        <f>AB5-'hoaki dram19'!W7</f>
        <v>0</v>
      </c>
      <c r="BC5" s="298">
        <f>AC5-'hoaki dram19'!X7</f>
        <v>0</v>
      </c>
      <c r="BD5" s="298">
        <f>AD5-'hoaki dram19'!Y7</f>
        <v>0</v>
      </c>
      <c r="BE5" s="329">
        <f t="shared" si="2"/>
        <v>-1.5000000000000226</v>
      </c>
      <c r="BF5" s="298">
        <f>AH5-'hoaki dram19'!AC7</f>
        <v>0</v>
      </c>
      <c r="BG5" s="298">
        <f>AI5-'hoaki dram19'!AD7</f>
        <v>0</v>
      </c>
      <c r="BH5" s="298">
        <f>AJ5-'hoaki dram19'!AE7</f>
        <v>0</v>
      </c>
      <c r="BI5" s="298">
        <f aca="true" t="shared" si="8" ref="BI5:BI15">BF5+BG5+BH5</f>
        <v>0</v>
      </c>
      <c r="BJ5" s="329">
        <f>BE5+BI5</f>
        <v>-1.5000000000000226</v>
      </c>
      <c r="BK5" s="298">
        <f>H5-'hoaki dram19'!C7</f>
        <v>0</v>
      </c>
      <c r="BL5" s="298">
        <f>I5-'hoaki dram19'!D7</f>
        <v>0</v>
      </c>
      <c r="BM5" s="298">
        <f>J5-'hoaki dram19'!E7-G5</f>
        <v>-2.5999999999999996</v>
      </c>
      <c r="BN5" s="329">
        <f aca="true" t="shared" si="9" ref="BN5:BN27">BK5+BL5+BM5</f>
        <v>-2.5999999999999996</v>
      </c>
    </row>
    <row r="6" spans="1:66" s="294" customFormat="1" ht="25.5" customHeight="1">
      <c r="A6" s="296" t="s">
        <v>189</v>
      </c>
      <c r="B6" s="476">
        <v>1.8</v>
      </c>
      <c r="C6" s="303">
        <v>0.2</v>
      </c>
      <c r="D6" s="300">
        <v>2</v>
      </c>
      <c r="E6" s="300"/>
      <c r="F6" s="329">
        <f t="shared" si="3"/>
        <v>4</v>
      </c>
      <c r="G6" s="335">
        <f t="shared" si="4"/>
        <v>4</v>
      </c>
      <c r="H6" s="300"/>
      <c r="I6" s="300"/>
      <c r="J6" s="329">
        <f t="shared" si="0"/>
        <v>19327.399999999998</v>
      </c>
      <c r="K6" s="339">
        <f t="shared" si="5"/>
        <v>19327.399999999998</v>
      </c>
      <c r="L6" s="393">
        <v>14496.8</v>
      </c>
      <c r="M6" s="385"/>
      <c r="N6" s="298">
        <v>545.8</v>
      </c>
      <c r="O6" s="298">
        <v>144</v>
      </c>
      <c r="P6" s="298">
        <v>99.5</v>
      </c>
      <c r="Q6" s="300"/>
      <c r="R6" s="300"/>
      <c r="S6" s="300"/>
      <c r="T6" s="300"/>
      <c r="U6" s="300">
        <v>162</v>
      </c>
      <c r="V6" s="302"/>
      <c r="W6" s="300">
        <v>68.5</v>
      </c>
      <c r="X6" s="300">
        <v>110</v>
      </c>
      <c r="Y6" s="300"/>
      <c r="Z6" s="300"/>
      <c r="AA6" s="300">
        <v>48</v>
      </c>
      <c r="AB6" s="300">
        <v>3465.5</v>
      </c>
      <c r="AC6" s="300">
        <v>42.3</v>
      </c>
      <c r="AD6" s="300"/>
      <c r="AE6" s="342">
        <f t="shared" si="1"/>
        <v>19182.399999999998</v>
      </c>
      <c r="AF6" s="342"/>
      <c r="AG6" s="560">
        <v>145</v>
      </c>
      <c r="AH6" s="300"/>
      <c r="AI6" s="300"/>
      <c r="AJ6" s="300"/>
      <c r="AK6" s="329">
        <f t="shared" si="6"/>
        <v>145</v>
      </c>
      <c r="AL6" s="342">
        <f t="shared" si="7"/>
        <v>19327.399999999998</v>
      </c>
      <c r="AM6" s="298">
        <f>L6-'hoaki dram19'!G8</f>
        <v>0</v>
      </c>
      <c r="AN6" s="298">
        <f>N6-'hoaki dram19'!I8-C6</f>
        <v>-6.822320486321587E-14</v>
      </c>
      <c r="AO6" s="298">
        <f>O6-'hoaki dram19'!J8-D6</f>
        <v>0</v>
      </c>
      <c r="AP6" s="298">
        <f>P6-'hoaki dram19'!K8-E6</f>
        <v>-0.09999999999999432</v>
      </c>
      <c r="AQ6" s="298">
        <f>Q6-'hoaki dram19'!L8</f>
        <v>0</v>
      </c>
      <c r="AR6" s="298">
        <f>R6-'hoaki dram19'!M8</f>
        <v>0</v>
      </c>
      <c r="AS6" s="298">
        <f>S6-'hoaki dram19'!N8</f>
        <v>0</v>
      </c>
      <c r="AT6" s="298">
        <f>T6-'hoaki dram19'!O8</f>
        <v>0</v>
      </c>
      <c r="AU6" s="298">
        <f>U6-'hoaki dram19'!P8</f>
        <v>0</v>
      </c>
      <c r="AV6" s="298">
        <f>V6-'hoaki dram19'!Q8</f>
        <v>0</v>
      </c>
      <c r="AW6" s="298">
        <f>W6-'hoaki dram19'!R8</f>
        <v>0</v>
      </c>
      <c r="AX6" s="298">
        <f>X6-'hoaki dram19'!S8</f>
        <v>0</v>
      </c>
      <c r="AY6" s="298">
        <f>Y6-'hoaki dram19'!T8</f>
        <v>0</v>
      </c>
      <c r="AZ6" s="298">
        <f>Z6-'hoaki dram19'!U8</f>
        <v>0</v>
      </c>
      <c r="BA6" s="298">
        <f>AA6-'hoaki dram19'!V8</f>
        <v>0</v>
      </c>
      <c r="BB6" s="298">
        <f>AB6-'hoaki dram19'!W8</f>
        <v>0</v>
      </c>
      <c r="BC6" s="298">
        <f>AC6-'hoaki dram19'!X8</f>
        <v>0</v>
      </c>
      <c r="BD6" s="298">
        <f>AD6-'hoaki dram19'!Y8</f>
        <v>0</v>
      </c>
      <c r="BE6" s="329">
        <f t="shared" si="2"/>
        <v>-0.10000000000006254</v>
      </c>
      <c r="BF6" s="298">
        <f>AH6-'hoaki dram19'!AC8</f>
        <v>0</v>
      </c>
      <c r="BG6" s="298">
        <f>AI6-'hoaki dram19'!AD8</f>
        <v>0</v>
      </c>
      <c r="BH6" s="298">
        <f>AJ6-'hoaki dram19'!AE8</f>
        <v>0</v>
      </c>
      <c r="BI6" s="298">
        <f t="shared" si="8"/>
        <v>0</v>
      </c>
      <c r="BJ6" s="329">
        <f aca="true" t="shared" si="10" ref="BJ6:BJ23">BE6+BI6</f>
        <v>-0.10000000000006254</v>
      </c>
      <c r="BK6" s="298">
        <f>H6-'hoaki dram19'!C8</f>
        <v>0</v>
      </c>
      <c r="BL6" s="298">
        <f>I6-'hoaki dram19'!D8</f>
        <v>0</v>
      </c>
      <c r="BM6" s="298">
        <f>J6-'hoaki dram19'!E8-G6</f>
        <v>-0.10000000000218279</v>
      </c>
      <c r="BN6" s="471">
        <f t="shared" si="9"/>
        <v>-0.10000000000218279</v>
      </c>
    </row>
    <row r="7" spans="1:66" s="294" customFormat="1" ht="25.5" customHeight="1">
      <c r="A7" s="566" t="s">
        <v>190</v>
      </c>
      <c r="B7" s="476">
        <v>2.4</v>
      </c>
      <c r="C7" s="303">
        <v>336.7</v>
      </c>
      <c r="D7" s="300">
        <v>7.9</v>
      </c>
      <c r="E7" s="300"/>
      <c r="F7" s="329">
        <f t="shared" si="3"/>
        <v>346.99999999999994</v>
      </c>
      <c r="G7" s="335">
        <f t="shared" si="4"/>
        <v>346.99999999999994</v>
      </c>
      <c r="H7" s="300"/>
      <c r="I7" s="300"/>
      <c r="J7" s="329">
        <f t="shared" si="0"/>
        <v>32128.1</v>
      </c>
      <c r="K7" s="339">
        <f t="shared" si="5"/>
        <v>32128.1</v>
      </c>
      <c r="L7" s="393">
        <v>21564.2</v>
      </c>
      <c r="M7" s="385"/>
      <c r="N7" s="298">
        <v>1884.2</v>
      </c>
      <c r="O7" s="298">
        <v>257.8</v>
      </c>
      <c r="P7" s="298">
        <v>99.6</v>
      </c>
      <c r="Q7" s="300"/>
      <c r="R7" s="300"/>
      <c r="S7" s="300"/>
      <c r="T7" s="300"/>
      <c r="U7" s="300">
        <v>294</v>
      </c>
      <c r="V7" s="302"/>
      <c r="W7" s="300">
        <v>198</v>
      </c>
      <c r="X7" s="300">
        <v>215</v>
      </c>
      <c r="Y7" s="300"/>
      <c r="Z7" s="300"/>
      <c r="AA7" s="300">
        <v>70</v>
      </c>
      <c r="AB7" s="300">
        <v>7454.3</v>
      </c>
      <c r="AC7" s="300">
        <v>91</v>
      </c>
      <c r="AD7" s="300"/>
      <c r="AE7" s="342">
        <f t="shared" si="1"/>
        <v>32128.1</v>
      </c>
      <c r="AF7" s="342"/>
      <c r="AG7" s="342"/>
      <c r="AH7" s="300"/>
      <c r="AI7" s="300"/>
      <c r="AJ7" s="300"/>
      <c r="AK7" s="329">
        <f t="shared" si="6"/>
        <v>0</v>
      </c>
      <c r="AL7" s="342">
        <f t="shared" si="7"/>
        <v>32128.1</v>
      </c>
      <c r="AM7" s="556">
        <f>L7-'hoaki dram19'!G9</f>
        <v>0</v>
      </c>
      <c r="AN7" s="298">
        <f>N7-'hoaki dram19'!I9-C7</f>
        <v>-164.2999999999999</v>
      </c>
      <c r="AO7" s="298">
        <f>O7-'hoaki dram19'!J9-D7</f>
        <v>-9.4</v>
      </c>
      <c r="AP7" s="298">
        <f>P7-'hoaki dram19'!K9-E7</f>
        <v>0</v>
      </c>
      <c r="AQ7" s="298">
        <f>Q7-'hoaki dram19'!L9</f>
        <v>0</v>
      </c>
      <c r="AR7" s="298">
        <f>R7-'hoaki dram19'!M9</f>
        <v>0</v>
      </c>
      <c r="AS7" s="298">
        <f>S7-'hoaki dram19'!N9</f>
        <v>0</v>
      </c>
      <c r="AT7" s="298">
        <f>T7-'hoaki dram19'!O9</f>
        <v>0</v>
      </c>
      <c r="AU7" s="298">
        <f>U7-'hoaki dram19'!P9</f>
        <v>0</v>
      </c>
      <c r="AV7" s="298">
        <f>V7-'hoaki dram19'!Q9</f>
        <v>0</v>
      </c>
      <c r="AW7" s="298">
        <f>W7-'hoaki dram19'!R9</f>
        <v>0</v>
      </c>
      <c r="AX7" s="298">
        <f>X7-'hoaki dram19'!S9</f>
        <v>0</v>
      </c>
      <c r="AY7" s="298">
        <f>Y7-'hoaki dram19'!T9</f>
        <v>0</v>
      </c>
      <c r="AZ7" s="298">
        <f>Z7-'hoaki dram19'!U9</f>
        <v>0</v>
      </c>
      <c r="BA7" s="298">
        <f>AA7-'hoaki dram19'!V9</f>
        <v>0</v>
      </c>
      <c r="BB7" s="298">
        <f>AB7-'hoaki dram19'!W9</f>
        <v>0</v>
      </c>
      <c r="BC7" s="298">
        <f>AC7-'hoaki dram19'!X9</f>
        <v>0</v>
      </c>
      <c r="BD7" s="298">
        <f>AD7-'hoaki dram19'!Y9</f>
        <v>0</v>
      </c>
      <c r="BE7" s="329">
        <f t="shared" si="2"/>
        <v>-173.6999999999999</v>
      </c>
      <c r="BF7" s="298">
        <f>AH7-'hoaki dram19'!AC9</f>
        <v>0</v>
      </c>
      <c r="BG7" s="298">
        <f>AI7-'hoaki dram19'!AD9</f>
        <v>0</v>
      </c>
      <c r="BH7" s="298">
        <f>AJ7-'hoaki dram19'!AE9</f>
        <v>0</v>
      </c>
      <c r="BI7" s="298">
        <f t="shared" si="8"/>
        <v>0</v>
      </c>
      <c r="BJ7" s="329">
        <f t="shared" si="10"/>
        <v>-173.6999999999999</v>
      </c>
      <c r="BK7" s="298">
        <f>H7-'hoaki dram19'!C9</f>
        <v>0</v>
      </c>
      <c r="BL7" s="298">
        <f>I7-'hoaki dram19'!D9</f>
        <v>0</v>
      </c>
      <c r="BM7" s="298">
        <f>J7-'hoaki dram19'!E9-G7</f>
        <v>-178.20000000000067</v>
      </c>
      <c r="BN7" s="329">
        <f t="shared" si="9"/>
        <v>-178.20000000000067</v>
      </c>
    </row>
    <row r="8" spans="1:66" s="294" customFormat="1" ht="25.5" customHeight="1">
      <c r="A8" s="296" t="s">
        <v>191</v>
      </c>
      <c r="B8" s="476">
        <v>1.3</v>
      </c>
      <c r="C8" s="303">
        <v>1.8</v>
      </c>
      <c r="D8" s="300">
        <v>3.6</v>
      </c>
      <c r="E8" s="300"/>
      <c r="F8" s="329">
        <f t="shared" si="3"/>
        <v>6.7</v>
      </c>
      <c r="G8" s="335">
        <f t="shared" si="4"/>
        <v>6.7</v>
      </c>
      <c r="H8" s="300"/>
      <c r="I8" s="300"/>
      <c r="J8" s="329">
        <f t="shared" si="0"/>
        <v>19016.700000000004</v>
      </c>
      <c r="K8" s="339">
        <f t="shared" si="5"/>
        <v>19016.700000000004</v>
      </c>
      <c r="L8" s="393">
        <v>14540.1</v>
      </c>
      <c r="M8" s="385"/>
      <c r="N8" s="298">
        <v>533.6</v>
      </c>
      <c r="O8" s="298">
        <v>131.9</v>
      </c>
      <c r="P8" s="298">
        <v>100.7</v>
      </c>
      <c r="Q8" s="300"/>
      <c r="R8" s="300"/>
      <c r="S8" s="300"/>
      <c r="T8" s="300"/>
      <c r="U8" s="300">
        <v>153</v>
      </c>
      <c r="V8" s="302"/>
      <c r="W8" s="300"/>
      <c r="X8" s="300">
        <v>110</v>
      </c>
      <c r="Y8" s="300"/>
      <c r="Z8" s="300"/>
      <c r="AA8" s="300">
        <v>48</v>
      </c>
      <c r="AB8" s="300">
        <v>3358.5</v>
      </c>
      <c r="AC8" s="300">
        <v>40.9</v>
      </c>
      <c r="AD8" s="300"/>
      <c r="AE8" s="342">
        <f t="shared" si="1"/>
        <v>19016.700000000004</v>
      </c>
      <c r="AF8" s="342"/>
      <c r="AG8" s="342"/>
      <c r="AH8" s="300"/>
      <c r="AI8" s="300"/>
      <c r="AJ8" s="300"/>
      <c r="AK8" s="329">
        <f t="shared" si="6"/>
        <v>0</v>
      </c>
      <c r="AL8" s="342">
        <f t="shared" si="7"/>
        <v>19016.700000000004</v>
      </c>
      <c r="AM8" s="298">
        <f>L8-'hoaki dram19'!G10</f>
        <v>0</v>
      </c>
      <c r="AN8" s="298">
        <f>N8-'hoaki dram19'!I10-C8</f>
        <v>-6.900000000000023</v>
      </c>
      <c r="AO8" s="298">
        <f>O8-'hoaki dram19'!J10-D8</f>
        <v>-3.1999999999999944</v>
      </c>
      <c r="AP8" s="298">
        <f>P8-'hoaki dram19'!K10-E8</f>
        <v>-0.09999999999999432</v>
      </c>
      <c r="AQ8" s="298">
        <f>Q8-'hoaki dram19'!L10</f>
        <v>0</v>
      </c>
      <c r="AR8" s="298">
        <f>R8-'hoaki dram19'!M10</f>
        <v>0</v>
      </c>
      <c r="AS8" s="298">
        <f>S8-'hoaki dram19'!N10</f>
        <v>0</v>
      </c>
      <c r="AT8" s="298">
        <f>T8-'hoaki dram19'!O10</f>
        <v>0</v>
      </c>
      <c r="AU8" s="298">
        <f>U8-'hoaki dram19'!P10</f>
        <v>0</v>
      </c>
      <c r="AV8" s="298">
        <f>V8-'hoaki dram19'!Q10</f>
        <v>0</v>
      </c>
      <c r="AW8" s="298">
        <f>W8-'hoaki dram19'!R10</f>
        <v>0</v>
      </c>
      <c r="AX8" s="298">
        <f>X8-'hoaki dram19'!S10</f>
        <v>0</v>
      </c>
      <c r="AY8" s="298">
        <f>Y8-'hoaki dram19'!T10</f>
        <v>0</v>
      </c>
      <c r="AZ8" s="298">
        <f>Z8-'hoaki dram19'!U10</f>
        <v>0</v>
      </c>
      <c r="BA8" s="298">
        <f>AA8-'hoaki dram19'!V10</f>
        <v>0</v>
      </c>
      <c r="BB8" s="298">
        <f>AB8-'hoaki dram19'!W10</f>
        <v>0</v>
      </c>
      <c r="BC8" s="298">
        <f>AC8-'hoaki dram19'!X10</f>
        <v>0</v>
      </c>
      <c r="BD8" s="298">
        <f>AD8-'hoaki dram19'!Y10</f>
        <v>0</v>
      </c>
      <c r="BE8" s="329">
        <f t="shared" si="2"/>
        <v>-10.200000000000012</v>
      </c>
      <c r="BF8" s="298">
        <f>AH8-'hoaki dram19'!AC10</f>
        <v>0</v>
      </c>
      <c r="BG8" s="298">
        <f>AI8-'hoaki dram19'!AD10</f>
        <v>0</v>
      </c>
      <c r="BH8" s="298">
        <f>AJ8-'hoaki dram19'!AE10</f>
        <v>0</v>
      </c>
      <c r="BI8" s="298">
        <f t="shared" si="8"/>
        <v>0</v>
      </c>
      <c r="BJ8" s="329">
        <f t="shared" si="10"/>
        <v>-10.200000000000012</v>
      </c>
      <c r="BK8" s="298">
        <f>H8-'hoaki dram19'!C10</f>
        <v>0</v>
      </c>
      <c r="BL8" s="298">
        <f>I8-'hoaki dram19'!D10</f>
        <v>0</v>
      </c>
      <c r="BM8" s="298">
        <f>J8-'hoaki dram19'!E10-G8</f>
        <v>-10.199999999996361</v>
      </c>
      <c r="BN8" s="329">
        <f t="shared" si="9"/>
        <v>-10.199999999996361</v>
      </c>
    </row>
    <row r="9" spans="1:66" s="294" customFormat="1" ht="25.5" customHeight="1">
      <c r="A9" s="566" t="s">
        <v>192</v>
      </c>
      <c r="B9" s="476">
        <v>1.9</v>
      </c>
      <c r="C9" s="303">
        <v>0.5</v>
      </c>
      <c r="D9" s="300">
        <v>0.4</v>
      </c>
      <c r="E9" s="300"/>
      <c r="F9" s="329">
        <f t="shared" si="3"/>
        <v>2.8</v>
      </c>
      <c r="G9" s="335">
        <f t="shared" si="4"/>
        <v>2.8</v>
      </c>
      <c r="H9" s="300"/>
      <c r="I9" s="300"/>
      <c r="J9" s="329">
        <f t="shared" si="0"/>
        <v>24319.999999999996</v>
      </c>
      <c r="K9" s="339">
        <f t="shared" si="5"/>
        <v>24319.999999999996</v>
      </c>
      <c r="L9" s="393">
        <v>17930.3</v>
      </c>
      <c r="M9" s="385"/>
      <c r="N9" s="298">
        <v>611.5</v>
      </c>
      <c r="O9" s="298">
        <v>193.6</v>
      </c>
      <c r="P9" s="298">
        <v>100.8</v>
      </c>
      <c r="Q9" s="300"/>
      <c r="R9" s="300"/>
      <c r="S9" s="300"/>
      <c r="T9" s="300"/>
      <c r="U9" s="300">
        <v>198</v>
      </c>
      <c r="V9" s="302"/>
      <c r="W9" s="300"/>
      <c r="X9" s="300">
        <v>150</v>
      </c>
      <c r="Y9" s="300"/>
      <c r="Z9" s="300"/>
      <c r="AA9" s="300">
        <v>53</v>
      </c>
      <c r="AB9" s="300">
        <v>4710.3</v>
      </c>
      <c r="AC9" s="300">
        <v>58.5</v>
      </c>
      <c r="AD9" s="300"/>
      <c r="AE9" s="342">
        <f t="shared" si="1"/>
        <v>24005.999999999996</v>
      </c>
      <c r="AF9" s="342"/>
      <c r="AG9" s="342"/>
      <c r="AH9" s="300"/>
      <c r="AI9" s="300"/>
      <c r="AJ9" s="300">
        <v>314</v>
      </c>
      <c r="AK9" s="329">
        <f t="shared" si="6"/>
        <v>314</v>
      </c>
      <c r="AL9" s="342">
        <f t="shared" si="7"/>
        <v>24319.999999999996</v>
      </c>
      <c r="AM9" s="298">
        <f>L9-'hoaki dram19'!G11</f>
        <v>0</v>
      </c>
      <c r="AN9" s="298">
        <f>N9-'hoaki dram19'!I11-C9</f>
        <v>0</v>
      </c>
      <c r="AO9" s="298">
        <f>O9-'hoaki dram19'!J11-D9</f>
        <v>5.662137425588298E-15</v>
      </c>
      <c r="AP9" s="298">
        <f>P9-'hoaki dram19'!K11-E9</f>
        <v>0</v>
      </c>
      <c r="AQ9" s="298">
        <f>Q9-'hoaki dram19'!L11</f>
        <v>0</v>
      </c>
      <c r="AR9" s="298">
        <f>R9-'hoaki dram19'!M11</f>
        <v>0</v>
      </c>
      <c r="AS9" s="298">
        <f>S9-'hoaki dram19'!N11</f>
        <v>0</v>
      </c>
      <c r="AT9" s="298">
        <f>T9-'hoaki dram19'!O11</f>
        <v>0</v>
      </c>
      <c r="AU9" s="298">
        <f>U9-'hoaki dram19'!P11</f>
        <v>0</v>
      </c>
      <c r="AV9" s="298">
        <f>V9-'hoaki dram19'!Q11</f>
        <v>0</v>
      </c>
      <c r="AW9" s="298">
        <f>W9-'hoaki dram19'!R11</f>
        <v>0</v>
      </c>
      <c r="AX9" s="298">
        <f>X9-'hoaki dram19'!S11</f>
        <v>0</v>
      </c>
      <c r="AY9" s="298">
        <f>Y9-'hoaki dram19'!T11</f>
        <v>0</v>
      </c>
      <c r="AZ9" s="298">
        <f>Z9-'hoaki dram19'!U11</f>
        <v>0</v>
      </c>
      <c r="BA9" s="298">
        <f>AA9-'hoaki dram19'!V11</f>
        <v>0</v>
      </c>
      <c r="BB9" s="298">
        <f>AB9-'hoaki dram19'!W11</f>
        <v>0</v>
      </c>
      <c r="BC9" s="298">
        <f>AC9-'hoaki dram19'!X11</f>
        <v>0</v>
      </c>
      <c r="BD9" s="298">
        <f>AD9-'hoaki dram19'!Y11</f>
        <v>0</v>
      </c>
      <c r="BE9" s="329">
        <f t="shared" si="2"/>
        <v>5.662137425588298E-15</v>
      </c>
      <c r="BF9" s="298">
        <f>AH9-'hoaki dram19'!AC11</f>
        <v>0</v>
      </c>
      <c r="BG9" s="298">
        <f>AI9-'hoaki dram19'!AD11</f>
        <v>0</v>
      </c>
      <c r="BH9" s="298">
        <f>AJ9-'hoaki dram19'!AE11</f>
        <v>0</v>
      </c>
      <c r="BI9" s="298">
        <f t="shared" si="8"/>
        <v>0</v>
      </c>
      <c r="BJ9" s="329">
        <f t="shared" si="10"/>
        <v>5.662137425588298E-15</v>
      </c>
      <c r="BK9" s="298">
        <f>H9-'hoaki dram19'!C11</f>
        <v>0</v>
      </c>
      <c r="BL9" s="298">
        <f>I9-'hoaki dram19'!D11</f>
        <v>0</v>
      </c>
      <c r="BM9" s="298">
        <f>J9-'hoaki dram19'!E11-G9</f>
        <v>-2.10000000000291</v>
      </c>
      <c r="BN9" s="329">
        <f t="shared" si="9"/>
        <v>-2.10000000000291</v>
      </c>
    </row>
    <row r="10" spans="1:66" s="294" customFormat="1" ht="25.5" customHeight="1">
      <c r="A10" s="296" t="s">
        <v>193</v>
      </c>
      <c r="B10" s="476">
        <v>0</v>
      </c>
      <c r="C10" s="303">
        <v>19.1</v>
      </c>
      <c r="D10" s="300">
        <v>1.6</v>
      </c>
      <c r="E10" s="300"/>
      <c r="F10" s="329">
        <f t="shared" si="3"/>
        <v>20.700000000000003</v>
      </c>
      <c r="G10" s="335">
        <f t="shared" si="4"/>
        <v>20.700000000000003</v>
      </c>
      <c r="H10" s="300"/>
      <c r="I10" s="300"/>
      <c r="J10" s="329">
        <f t="shared" si="0"/>
        <v>24710.299999999996</v>
      </c>
      <c r="K10" s="339">
        <f t="shared" si="5"/>
        <v>24710.299999999996</v>
      </c>
      <c r="L10" s="393">
        <v>18389.8</v>
      </c>
      <c r="M10" s="385"/>
      <c r="N10" s="556">
        <v>659.6</v>
      </c>
      <c r="O10" s="298">
        <v>160.5</v>
      </c>
      <c r="P10" s="298">
        <v>100.8</v>
      </c>
      <c r="Q10" s="300"/>
      <c r="R10" s="300"/>
      <c r="S10" s="300"/>
      <c r="T10" s="300"/>
      <c r="U10" s="300">
        <v>216</v>
      </c>
      <c r="V10" s="302"/>
      <c r="W10" s="300"/>
      <c r="X10" s="300">
        <v>150</v>
      </c>
      <c r="Y10" s="300"/>
      <c r="Z10" s="300"/>
      <c r="AA10" s="300">
        <v>53</v>
      </c>
      <c r="AB10" s="300">
        <v>4702.1</v>
      </c>
      <c r="AC10" s="300">
        <v>58.5</v>
      </c>
      <c r="AD10" s="300"/>
      <c r="AE10" s="342">
        <f t="shared" si="1"/>
        <v>24490.299999999996</v>
      </c>
      <c r="AF10" s="342"/>
      <c r="AG10" s="342"/>
      <c r="AH10" s="300"/>
      <c r="AI10" s="300"/>
      <c r="AJ10" s="300">
        <v>220</v>
      </c>
      <c r="AK10" s="329">
        <f t="shared" si="6"/>
        <v>220</v>
      </c>
      <c r="AL10" s="342">
        <f t="shared" si="7"/>
        <v>24710.299999999996</v>
      </c>
      <c r="AM10" s="298">
        <f>L10-'hoaki dram19'!G12</f>
        <v>0</v>
      </c>
      <c r="AN10" s="298">
        <f>N10-'hoaki dram19'!I12-C10</f>
        <v>-21.799999999999933</v>
      </c>
      <c r="AO10" s="298">
        <f>O10-'hoaki dram19'!J12-D10</f>
        <v>-12.799999999999988</v>
      </c>
      <c r="AP10" s="298">
        <f>P10-'hoaki dram19'!K12-E10</f>
        <v>0</v>
      </c>
      <c r="AQ10" s="298">
        <f>Q10-'hoaki dram19'!L12</f>
        <v>0</v>
      </c>
      <c r="AR10" s="298">
        <f>R10-'hoaki dram19'!M12</f>
        <v>0</v>
      </c>
      <c r="AS10" s="298">
        <f>S10-'hoaki dram19'!N12</f>
        <v>0</v>
      </c>
      <c r="AT10" s="298">
        <f>T10-'hoaki dram19'!O12</f>
        <v>0</v>
      </c>
      <c r="AU10" s="298">
        <f>U10-'hoaki dram19'!P12</f>
        <v>0</v>
      </c>
      <c r="AV10" s="298">
        <f>V10-'hoaki dram19'!Q12</f>
        <v>0</v>
      </c>
      <c r="AW10" s="298">
        <f>W10-'hoaki dram19'!R12</f>
        <v>0</v>
      </c>
      <c r="AX10" s="298">
        <f>X10-'hoaki dram19'!S12</f>
        <v>0</v>
      </c>
      <c r="AY10" s="298">
        <f>Y10-'hoaki dram19'!T12</f>
        <v>0</v>
      </c>
      <c r="AZ10" s="298">
        <f>Z10-'hoaki dram19'!U12</f>
        <v>0</v>
      </c>
      <c r="BA10" s="298">
        <f>AA10-'hoaki dram19'!V12</f>
        <v>0</v>
      </c>
      <c r="BB10" s="298">
        <f>AB10-'hoaki dram19'!W12</f>
        <v>0</v>
      </c>
      <c r="BC10" s="298">
        <f>AC10-'hoaki dram19'!X12</f>
        <v>0</v>
      </c>
      <c r="BD10" s="298">
        <f>AD10-'hoaki dram19'!Y12</f>
        <v>0</v>
      </c>
      <c r="BE10" s="329">
        <f t="shared" si="2"/>
        <v>-34.59999999999992</v>
      </c>
      <c r="BF10" s="298">
        <f>AH10-'hoaki dram19'!AC12</f>
        <v>0</v>
      </c>
      <c r="BG10" s="298">
        <f>AI10-'hoaki dram19'!AD12</f>
        <v>0</v>
      </c>
      <c r="BH10" s="298">
        <f>AJ10-'hoaki dram19'!AE12</f>
        <v>0</v>
      </c>
      <c r="BI10" s="298">
        <f t="shared" si="8"/>
        <v>0</v>
      </c>
      <c r="BJ10" s="329">
        <f t="shared" si="10"/>
        <v>-34.59999999999992</v>
      </c>
      <c r="BK10" s="298">
        <f>H10-'hoaki dram19'!C12</f>
        <v>0</v>
      </c>
      <c r="BL10" s="298">
        <f>I10-'hoaki dram19'!D12</f>
        <v>0</v>
      </c>
      <c r="BM10" s="298">
        <f>J10-'hoaki dram19'!E12-G10</f>
        <v>-39.20000000000364</v>
      </c>
      <c r="BN10" s="329">
        <f t="shared" si="9"/>
        <v>-39.20000000000364</v>
      </c>
    </row>
    <row r="11" spans="1:66" s="294" customFormat="1" ht="25.5" customHeight="1">
      <c r="A11" s="296" t="s">
        <v>194</v>
      </c>
      <c r="B11" s="476">
        <v>4.6</v>
      </c>
      <c r="C11" s="303">
        <v>73</v>
      </c>
      <c r="D11" s="300"/>
      <c r="E11" s="300"/>
      <c r="F11" s="329">
        <f t="shared" si="3"/>
        <v>77.6</v>
      </c>
      <c r="G11" s="335">
        <f t="shared" si="4"/>
        <v>77.6</v>
      </c>
      <c r="H11" s="300"/>
      <c r="I11" s="300"/>
      <c r="J11" s="329">
        <f t="shared" si="0"/>
        <v>32293.899999999998</v>
      </c>
      <c r="K11" s="339">
        <f t="shared" si="5"/>
        <v>32293.899999999998</v>
      </c>
      <c r="L11" s="393">
        <v>21420.2</v>
      </c>
      <c r="M11" s="385"/>
      <c r="N11" s="298">
        <v>1110.6</v>
      </c>
      <c r="O11" s="298">
        <v>297.8</v>
      </c>
      <c r="P11" s="298">
        <v>100.7</v>
      </c>
      <c r="Q11" s="300"/>
      <c r="R11" s="300"/>
      <c r="S11" s="300"/>
      <c r="T11" s="300"/>
      <c r="U11" s="300">
        <v>289.3</v>
      </c>
      <c r="V11" s="302"/>
      <c r="W11" s="300"/>
      <c r="X11" s="300">
        <v>215</v>
      </c>
      <c r="Y11" s="300"/>
      <c r="Z11" s="300"/>
      <c r="AA11" s="300">
        <v>70</v>
      </c>
      <c r="AB11" s="300">
        <v>7707.3</v>
      </c>
      <c r="AC11" s="300">
        <v>91</v>
      </c>
      <c r="AD11" s="300"/>
      <c r="AE11" s="342">
        <f t="shared" si="1"/>
        <v>31301.899999999998</v>
      </c>
      <c r="AF11" s="342"/>
      <c r="AG11" s="342"/>
      <c r="AH11" s="300"/>
      <c r="AI11" s="300">
        <v>992</v>
      </c>
      <c r="AJ11" s="300"/>
      <c r="AK11" s="329">
        <f t="shared" si="6"/>
        <v>992</v>
      </c>
      <c r="AL11" s="342">
        <f t="shared" si="7"/>
        <v>32293.899999999998</v>
      </c>
      <c r="AM11" s="298">
        <f>L11-'hoaki dram19'!G13</f>
        <v>0</v>
      </c>
      <c r="AN11" s="298">
        <f>N11-'hoaki dram19'!I13-C11</f>
        <v>-53.200000000000045</v>
      </c>
      <c r="AO11" s="298">
        <f>O11-'hoaki dram19'!J13-D11</f>
        <v>0</v>
      </c>
      <c r="AP11" s="298">
        <f>P11-'hoaki dram19'!K13-E11</f>
        <v>-0.09999999999999432</v>
      </c>
      <c r="AQ11" s="298">
        <f>Q11-'hoaki dram19'!L13</f>
        <v>0</v>
      </c>
      <c r="AR11" s="298">
        <f>R11-'hoaki dram19'!M13</f>
        <v>0</v>
      </c>
      <c r="AS11" s="298">
        <f>S11-'hoaki dram19'!N13</f>
        <v>0</v>
      </c>
      <c r="AT11" s="298">
        <f>T11-'hoaki dram19'!O13</f>
        <v>0</v>
      </c>
      <c r="AU11" s="298">
        <f>U11-'hoaki dram19'!P13</f>
        <v>0</v>
      </c>
      <c r="AV11" s="298">
        <f>V11-'hoaki dram19'!Q13</f>
        <v>0</v>
      </c>
      <c r="AW11" s="298">
        <f>W11-'hoaki dram19'!R13</f>
        <v>0</v>
      </c>
      <c r="AX11" s="298">
        <f>X11-'hoaki dram19'!S13</f>
        <v>0</v>
      </c>
      <c r="AY11" s="298">
        <f>Y11-'hoaki dram19'!T13</f>
        <v>0</v>
      </c>
      <c r="AZ11" s="298">
        <f>Z11-'hoaki dram19'!U13</f>
        <v>0</v>
      </c>
      <c r="BA11" s="298">
        <f>AA11-'hoaki dram19'!V13</f>
        <v>0</v>
      </c>
      <c r="BB11" s="298">
        <f>AB11-'hoaki dram19'!W13</f>
        <v>0</v>
      </c>
      <c r="BC11" s="298">
        <f>AC11-'hoaki dram19'!X13</f>
        <v>0</v>
      </c>
      <c r="BD11" s="298">
        <f>AD11-'hoaki dram19'!Y13</f>
        <v>0</v>
      </c>
      <c r="BE11" s="329">
        <f t="shared" si="2"/>
        <v>-53.30000000000004</v>
      </c>
      <c r="BF11" s="298">
        <f>AH11-'hoaki dram19'!AC13</f>
        <v>0</v>
      </c>
      <c r="BG11" s="298">
        <f>AI11-'hoaki dram19'!AD13</f>
        <v>0</v>
      </c>
      <c r="BH11" s="298">
        <f>AJ11-'hoaki dram19'!AE13</f>
        <v>0</v>
      </c>
      <c r="BI11" s="298">
        <f t="shared" si="8"/>
        <v>0</v>
      </c>
      <c r="BJ11" s="329">
        <f t="shared" si="10"/>
        <v>-53.30000000000004</v>
      </c>
      <c r="BK11" s="298">
        <f>H11-'hoaki dram19'!C13</f>
        <v>0</v>
      </c>
      <c r="BL11" s="298">
        <f>I11-'hoaki dram19'!D13</f>
        <v>0</v>
      </c>
      <c r="BM11" s="298">
        <f>J11-'hoaki dram19'!E13-G11</f>
        <v>-57.30000000000072</v>
      </c>
      <c r="BN11" s="329">
        <f t="shared" si="9"/>
        <v>-57.30000000000072</v>
      </c>
    </row>
    <row r="12" spans="1:66" s="294" customFormat="1" ht="25.5" customHeight="1">
      <c r="A12" s="296" t="s">
        <v>195</v>
      </c>
      <c r="B12" s="476">
        <v>0.9</v>
      </c>
      <c r="C12" s="303">
        <v>0.2</v>
      </c>
      <c r="D12" s="300">
        <v>3.7</v>
      </c>
      <c r="E12" s="300"/>
      <c r="F12" s="329">
        <f t="shared" si="3"/>
        <v>4.800000000000001</v>
      </c>
      <c r="G12" s="335">
        <f t="shared" si="4"/>
        <v>4.800000000000001</v>
      </c>
      <c r="H12" s="300"/>
      <c r="I12" s="300"/>
      <c r="J12" s="329">
        <f t="shared" si="0"/>
        <v>29495.6</v>
      </c>
      <c r="K12" s="339">
        <f t="shared" si="5"/>
        <v>29495.6</v>
      </c>
      <c r="L12" s="393">
        <v>19681</v>
      </c>
      <c r="M12" s="385"/>
      <c r="N12" s="298">
        <v>1200.5</v>
      </c>
      <c r="O12" s="298">
        <v>189.6</v>
      </c>
      <c r="P12" s="298">
        <v>99.1</v>
      </c>
      <c r="Q12" s="300"/>
      <c r="R12" s="300"/>
      <c r="S12" s="300"/>
      <c r="T12" s="300"/>
      <c r="U12" s="300">
        <v>458.5</v>
      </c>
      <c r="V12" s="300">
        <v>439.4</v>
      </c>
      <c r="W12" s="300"/>
      <c r="X12" s="300">
        <v>150</v>
      </c>
      <c r="Y12" s="300"/>
      <c r="Z12" s="300"/>
      <c r="AA12" s="300">
        <v>53</v>
      </c>
      <c r="AB12" s="300">
        <v>6946</v>
      </c>
      <c r="AC12" s="300">
        <v>58.5</v>
      </c>
      <c r="AD12" s="300"/>
      <c r="AE12" s="342">
        <f t="shared" si="1"/>
        <v>29275.6</v>
      </c>
      <c r="AF12" s="342"/>
      <c r="AG12" s="342"/>
      <c r="AH12" s="300"/>
      <c r="AI12" s="300"/>
      <c r="AJ12" s="300">
        <v>220</v>
      </c>
      <c r="AK12" s="329">
        <f t="shared" si="6"/>
        <v>220</v>
      </c>
      <c r="AL12" s="342">
        <f t="shared" si="7"/>
        <v>29495.6</v>
      </c>
      <c r="AM12" s="298">
        <f>L12-'hoaki dram19'!G14</f>
        <v>0</v>
      </c>
      <c r="AN12" s="298">
        <f>N12-'hoaki dram19'!I14-C12</f>
        <v>-89.2</v>
      </c>
      <c r="AO12" s="298">
        <f>O12-'hoaki dram19'!J14-D12</f>
        <v>-10.900000000000016</v>
      </c>
      <c r="AP12" s="298">
        <f>P12-'hoaki dram19'!K14-E12</f>
        <v>-0.5</v>
      </c>
      <c r="AQ12" s="298">
        <f>Q12-'hoaki dram19'!L14</f>
        <v>0</v>
      </c>
      <c r="AR12" s="298">
        <f>R12-'hoaki dram19'!M14</f>
        <v>0</v>
      </c>
      <c r="AS12" s="298">
        <f>S12-'hoaki dram19'!N14</f>
        <v>0</v>
      </c>
      <c r="AT12" s="298">
        <f>T12-'hoaki dram19'!O14</f>
        <v>0</v>
      </c>
      <c r="AU12" s="298">
        <f>U12-'hoaki dram19'!P14</f>
        <v>0</v>
      </c>
      <c r="AV12" s="298">
        <f>V12-'hoaki dram19'!Q14</f>
        <v>0</v>
      </c>
      <c r="AW12" s="298">
        <f>W12-'hoaki dram19'!R14</f>
        <v>0</v>
      </c>
      <c r="AX12" s="298">
        <f>X12-'hoaki dram19'!S14</f>
        <v>0</v>
      </c>
      <c r="AY12" s="298">
        <f>Y12-'hoaki dram19'!T14</f>
        <v>0</v>
      </c>
      <c r="AZ12" s="298">
        <f>Z12-'hoaki dram19'!U14</f>
        <v>0</v>
      </c>
      <c r="BA12" s="298">
        <f>AA12-'hoaki dram19'!V14</f>
        <v>0</v>
      </c>
      <c r="BB12" s="298">
        <f>AB12-'hoaki dram19'!W14</f>
        <v>0</v>
      </c>
      <c r="BC12" s="298">
        <f>AC12-'hoaki dram19'!X14</f>
        <v>0</v>
      </c>
      <c r="BD12" s="298">
        <f>AD12-'hoaki dram19'!Y14</f>
        <v>0</v>
      </c>
      <c r="BE12" s="329">
        <f t="shared" si="2"/>
        <v>-100.60000000000002</v>
      </c>
      <c r="BF12" s="298">
        <f>AH12-'hoaki dram19'!AC14</f>
        <v>0</v>
      </c>
      <c r="BG12" s="298">
        <f>AI12-'hoaki dram19'!AD14</f>
        <v>0</v>
      </c>
      <c r="BH12" s="298">
        <f>AJ12-'hoaki dram19'!AE14</f>
        <v>0</v>
      </c>
      <c r="BI12" s="298">
        <f t="shared" si="8"/>
        <v>0</v>
      </c>
      <c r="BJ12" s="329">
        <f t="shared" si="10"/>
        <v>-100.60000000000002</v>
      </c>
      <c r="BK12" s="298">
        <f>H12-'hoaki dram19'!C14</f>
        <v>0</v>
      </c>
      <c r="BL12" s="298">
        <f>I12-'hoaki dram19'!D14</f>
        <v>0</v>
      </c>
      <c r="BM12" s="298">
        <f>J12-'hoaki dram19'!E14-G12</f>
        <v>-102.40000000000218</v>
      </c>
      <c r="BN12" s="329">
        <f t="shared" si="9"/>
        <v>-102.40000000000218</v>
      </c>
    </row>
    <row r="13" spans="1:66" s="294" customFormat="1" ht="25.5" customHeight="1">
      <c r="A13" s="296" t="s">
        <v>196</v>
      </c>
      <c r="B13" s="476">
        <v>4.8</v>
      </c>
      <c r="C13" s="303">
        <v>207.9</v>
      </c>
      <c r="D13" s="300">
        <v>1.1</v>
      </c>
      <c r="E13" s="300"/>
      <c r="F13" s="329">
        <f t="shared" si="3"/>
        <v>213.8</v>
      </c>
      <c r="G13" s="335">
        <f t="shared" si="4"/>
        <v>213.8</v>
      </c>
      <c r="H13" s="300">
        <v>130</v>
      </c>
      <c r="I13" s="300"/>
      <c r="J13" s="329">
        <f t="shared" si="0"/>
        <v>29389.799999999996</v>
      </c>
      <c r="K13" s="339">
        <f t="shared" si="5"/>
        <v>29519.799999999996</v>
      </c>
      <c r="L13" s="393">
        <v>22020.3</v>
      </c>
      <c r="M13" s="385"/>
      <c r="N13" s="298">
        <v>683.6</v>
      </c>
      <c r="O13" s="298">
        <v>183.6</v>
      </c>
      <c r="P13" s="298">
        <v>100.8</v>
      </c>
      <c r="Q13" s="300"/>
      <c r="R13" s="300"/>
      <c r="S13" s="300"/>
      <c r="T13" s="300">
        <v>25.2</v>
      </c>
      <c r="U13" s="300">
        <v>379.8</v>
      </c>
      <c r="V13" s="300"/>
      <c r="W13" s="300"/>
      <c r="X13" s="300">
        <v>170</v>
      </c>
      <c r="Y13" s="300"/>
      <c r="Z13" s="300"/>
      <c r="AA13" s="300">
        <v>55</v>
      </c>
      <c r="AB13" s="300">
        <v>5774</v>
      </c>
      <c r="AC13" s="300">
        <v>127.5</v>
      </c>
      <c r="AD13" s="300"/>
      <c r="AE13" s="342">
        <f t="shared" si="1"/>
        <v>29519.799999999996</v>
      </c>
      <c r="AF13" s="342"/>
      <c r="AG13" s="342"/>
      <c r="AH13" s="300"/>
      <c r="AI13" s="300"/>
      <c r="AJ13" s="300"/>
      <c r="AK13" s="329">
        <f t="shared" si="6"/>
        <v>0</v>
      </c>
      <c r="AL13" s="342">
        <f t="shared" si="7"/>
        <v>29519.799999999996</v>
      </c>
      <c r="AM13" s="298">
        <f>L13-'hoaki dram19'!G15</f>
        <v>0</v>
      </c>
      <c r="AN13" s="298">
        <f>N13-'hoaki dram19'!I15-C13</f>
        <v>-159.69999999999996</v>
      </c>
      <c r="AO13" s="298">
        <f>O13-'hoaki dram19'!J15-D13</f>
        <v>-4.900000000000011</v>
      </c>
      <c r="AP13" s="298">
        <f>P13-'hoaki dram19'!K15-E13</f>
        <v>0</v>
      </c>
      <c r="AQ13" s="298">
        <f>Q13-'hoaki dram19'!L15</f>
        <v>0</v>
      </c>
      <c r="AR13" s="298">
        <f>R13-'hoaki dram19'!M15</f>
        <v>0</v>
      </c>
      <c r="AS13" s="298">
        <f>S13-'hoaki dram19'!N15</f>
        <v>0</v>
      </c>
      <c r="AT13" s="298">
        <f>T13-'hoaki dram19'!O15-I13</f>
        <v>0</v>
      </c>
      <c r="AU13" s="298">
        <f>U13-'hoaki dram19'!P15</f>
        <v>0</v>
      </c>
      <c r="AV13" s="298">
        <f>V13-'hoaki dram19'!Q15</f>
        <v>0</v>
      </c>
      <c r="AW13" s="298">
        <f>W13-'hoaki dram19'!R15</f>
        <v>0</v>
      </c>
      <c r="AX13" s="298">
        <f>X13-'hoaki dram19'!S15</f>
        <v>0</v>
      </c>
      <c r="AY13" s="298">
        <f>Y13-'hoaki dram19'!T15</f>
        <v>0</v>
      </c>
      <c r="AZ13" s="298">
        <f>Z13-'hoaki dram19'!U15</f>
        <v>0</v>
      </c>
      <c r="BA13" s="298">
        <f>AA13-'hoaki dram19'!V15</f>
        <v>0</v>
      </c>
      <c r="BB13" s="298">
        <f>AB13-'hoaki dram19'!W15</f>
        <v>0</v>
      </c>
      <c r="BC13" s="298">
        <f>AC13-'hoaki dram19'!X15</f>
        <v>0</v>
      </c>
      <c r="BD13" s="298">
        <f>AD13-'hoaki dram19'!Y15</f>
        <v>0</v>
      </c>
      <c r="BE13" s="329">
        <f>AM13+AN13+AO13+AP13+AQ13+AR13+AS13+AT13+AU13+AV13+AW13+AZ13++BB13+BC13+BD13+BA13+AX13+AY13</f>
        <v>-164.59999999999997</v>
      </c>
      <c r="BF13" s="298">
        <f>AH13-'hoaki dram19'!AC15</f>
        <v>0</v>
      </c>
      <c r="BG13" s="298">
        <f>AI13-'hoaki dram19'!AD15</f>
        <v>0</v>
      </c>
      <c r="BH13" s="298">
        <f>AJ13-'hoaki dram19'!AE15</f>
        <v>0</v>
      </c>
      <c r="BI13" s="298">
        <f t="shared" si="8"/>
        <v>0</v>
      </c>
      <c r="BJ13" s="329">
        <f t="shared" si="10"/>
        <v>-164.59999999999997</v>
      </c>
      <c r="BK13" s="298">
        <f>H13-'hoaki dram19'!C15</f>
        <v>0</v>
      </c>
      <c r="BL13" s="298">
        <f>I13-'hoaki dram19'!D15</f>
        <v>0</v>
      </c>
      <c r="BM13" s="298">
        <f>J13-'hoaki dram19'!E15-G13</f>
        <v>-171.50000000000438</v>
      </c>
      <c r="BN13" s="329">
        <f t="shared" si="9"/>
        <v>-171.50000000000438</v>
      </c>
    </row>
    <row r="14" spans="1:68" s="294" customFormat="1" ht="25.5" customHeight="1">
      <c r="A14" s="296" t="s">
        <v>197</v>
      </c>
      <c r="B14" s="476">
        <v>7.9</v>
      </c>
      <c r="C14" s="303">
        <v>3.8</v>
      </c>
      <c r="D14" s="300">
        <v>0.8</v>
      </c>
      <c r="E14" s="300"/>
      <c r="F14" s="329">
        <f t="shared" si="3"/>
        <v>12.5</v>
      </c>
      <c r="G14" s="335">
        <f t="shared" si="4"/>
        <v>12.5</v>
      </c>
      <c r="H14" s="300"/>
      <c r="I14" s="300"/>
      <c r="J14" s="329">
        <f t="shared" si="0"/>
        <v>23597.8</v>
      </c>
      <c r="K14" s="339">
        <f t="shared" si="5"/>
        <v>23597.8</v>
      </c>
      <c r="L14" s="393">
        <v>17206.2</v>
      </c>
      <c r="M14" s="385"/>
      <c r="N14" s="298">
        <v>758.6</v>
      </c>
      <c r="O14" s="298">
        <v>201.2</v>
      </c>
      <c r="P14" s="298">
        <v>100.8</v>
      </c>
      <c r="Q14" s="300"/>
      <c r="R14" s="300"/>
      <c r="S14" s="300"/>
      <c r="T14" s="300"/>
      <c r="U14" s="300">
        <v>207</v>
      </c>
      <c r="V14" s="300"/>
      <c r="W14" s="300">
        <v>179.6</v>
      </c>
      <c r="X14" s="300">
        <v>150</v>
      </c>
      <c r="Y14" s="300"/>
      <c r="Z14" s="300"/>
      <c r="AA14" s="300">
        <v>53</v>
      </c>
      <c r="AB14" s="300">
        <v>4683.5</v>
      </c>
      <c r="AC14" s="300">
        <v>57.9</v>
      </c>
      <c r="AD14" s="300"/>
      <c r="AE14" s="342">
        <f t="shared" si="1"/>
        <v>23597.8</v>
      </c>
      <c r="AF14" s="342"/>
      <c r="AG14" s="342"/>
      <c r="AH14" s="300"/>
      <c r="AI14" s="300"/>
      <c r="AJ14" s="300"/>
      <c r="AK14" s="329">
        <f t="shared" si="6"/>
        <v>0</v>
      </c>
      <c r="AL14" s="342">
        <f t="shared" si="7"/>
        <v>23597.8</v>
      </c>
      <c r="AM14" s="298">
        <f>L14-'hoaki dram19'!G16</f>
        <v>0</v>
      </c>
      <c r="AN14" s="298">
        <f>N14-'hoaki dram19'!I16-C14</f>
        <v>6.838973831690964E-14</v>
      </c>
      <c r="AO14" s="298">
        <f>O14-'hoaki dram19'!J16-D14</f>
        <v>-1.500000000000017</v>
      </c>
      <c r="AP14" s="298">
        <f>P14-'hoaki dram19'!K16-E14</f>
        <v>0</v>
      </c>
      <c r="AQ14" s="298">
        <f>Q14-'hoaki dram19'!L16</f>
        <v>0</v>
      </c>
      <c r="AR14" s="298">
        <f>R14-'hoaki dram19'!M16</f>
        <v>0</v>
      </c>
      <c r="AS14" s="298">
        <f>S14-'hoaki dram19'!N16</f>
        <v>0</v>
      </c>
      <c r="AT14" s="298">
        <f>T14-'hoaki dram19'!O16</f>
        <v>0</v>
      </c>
      <c r="AU14" s="298">
        <f>U14-'hoaki dram19'!P16</f>
        <v>0</v>
      </c>
      <c r="AV14" s="298">
        <f>V14-'hoaki dram19'!Q16</f>
        <v>0</v>
      </c>
      <c r="AW14" s="298">
        <f>W14-'hoaki dram19'!R16</f>
        <v>0</v>
      </c>
      <c r="AX14" s="298">
        <f>X14-'hoaki dram19'!S16</f>
        <v>0</v>
      </c>
      <c r="AY14" s="298">
        <f>Y14-'hoaki dram19'!T16</f>
        <v>0</v>
      </c>
      <c r="AZ14" s="298">
        <f>Z14-'hoaki dram19'!U16</f>
        <v>0</v>
      </c>
      <c r="BA14" s="298">
        <f>AA14-'hoaki dram19'!V16</f>
        <v>0</v>
      </c>
      <c r="BB14" s="298">
        <f>AB14-'hoaki dram19'!W16</f>
        <v>0</v>
      </c>
      <c r="BC14" s="298">
        <f>AC14-'hoaki dram19'!X16</f>
        <v>0</v>
      </c>
      <c r="BD14" s="298">
        <f>AD14-'hoaki dram19'!Y16</f>
        <v>0</v>
      </c>
      <c r="BE14" s="329">
        <f t="shared" si="2"/>
        <v>-1.4999999999999487</v>
      </c>
      <c r="BF14" s="298">
        <f>AH14-'hoaki dram19'!AC16</f>
        <v>0</v>
      </c>
      <c r="BG14" s="298">
        <f>AI14-'hoaki dram19'!AD16</f>
        <v>0</v>
      </c>
      <c r="BH14" s="298">
        <f>AJ14-'hoaki dram19'!AE16</f>
        <v>0</v>
      </c>
      <c r="BI14" s="298">
        <f>BF14+BG14+BH14</f>
        <v>0</v>
      </c>
      <c r="BJ14" s="329">
        <f>BE14+BI14</f>
        <v>-1.4999999999999487</v>
      </c>
      <c r="BK14" s="298">
        <f>H14-'hoaki dram19'!C16</f>
        <v>0</v>
      </c>
      <c r="BL14" s="298">
        <f>I14-'hoaki dram19'!D16</f>
        <v>0</v>
      </c>
      <c r="BM14" s="298">
        <f>J14-'hoaki dram19'!E16-G14</f>
        <v>-1.5</v>
      </c>
      <c r="BN14" s="329">
        <f t="shared" si="9"/>
        <v>-1.5</v>
      </c>
      <c r="BP14" s="294" t="s">
        <v>16</v>
      </c>
    </row>
    <row r="15" spans="1:66" s="294" customFormat="1" ht="25.5" customHeight="1" thickBot="1">
      <c r="A15" s="296" t="s">
        <v>198</v>
      </c>
      <c r="B15" s="477">
        <v>3.9</v>
      </c>
      <c r="C15" s="304">
        <v>1.7</v>
      </c>
      <c r="D15" s="305"/>
      <c r="E15" s="305"/>
      <c r="F15" s="329">
        <f t="shared" si="3"/>
        <v>5.6</v>
      </c>
      <c r="G15" s="336">
        <f t="shared" si="4"/>
        <v>5.6</v>
      </c>
      <c r="H15" s="305"/>
      <c r="I15" s="305"/>
      <c r="J15" s="330">
        <f t="shared" si="0"/>
        <v>28689.2</v>
      </c>
      <c r="K15" s="340">
        <f t="shared" si="5"/>
        <v>28689.2</v>
      </c>
      <c r="L15" s="403">
        <v>21124</v>
      </c>
      <c r="M15" s="403"/>
      <c r="N15" s="305">
        <v>945.5</v>
      </c>
      <c r="O15" s="305">
        <v>214.9</v>
      </c>
      <c r="P15" s="305">
        <v>99.1</v>
      </c>
      <c r="Q15" s="305"/>
      <c r="R15" s="305"/>
      <c r="S15" s="305"/>
      <c r="T15" s="300"/>
      <c r="U15" s="305">
        <v>216</v>
      </c>
      <c r="V15" s="305"/>
      <c r="W15" s="305">
        <v>6.5</v>
      </c>
      <c r="X15" s="305">
        <v>190</v>
      </c>
      <c r="Y15" s="305"/>
      <c r="Z15" s="305"/>
      <c r="AA15" s="305">
        <v>58</v>
      </c>
      <c r="AB15" s="305">
        <v>5760.5</v>
      </c>
      <c r="AC15" s="305">
        <v>74.7</v>
      </c>
      <c r="AD15" s="305"/>
      <c r="AE15" s="343">
        <f t="shared" si="1"/>
        <v>28689.2</v>
      </c>
      <c r="AF15" s="343"/>
      <c r="AG15" s="343"/>
      <c r="AH15" s="305"/>
      <c r="AI15" s="305"/>
      <c r="AJ15" s="305"/>
      <c r="AK15" s="329">
        <f t="shared" si="6"/>
        <v>0</v>
      </c>
      <c r="AL15" s="343">
        <f t="shared" si="7"/>
        <v>28689.2</v>
      </c>
      <c r="AM15" s="306">
        <f>L15-'hoaki dram19'!G17</f>
        <v>0</v>
      </c>
      <c r="AN15" s="306">
        <f>N15-'hoaki dram19'!I17-C15</f>
        <v>-0.3000000000000227</v>
      </c>
      <c r="AO15" s="306">
        <f>O15-'hoaki dram19'!J17-D15</f>
        <v>0</v>
      </c>
      <c r="AP15" s="306">
        <f>P15-'hoaki dram19'!K17-E15</f>
        <v>-0.5</v>
      </c>
      <c r="AQ15" s="298">
        <f>Q15-'hoaki dram19'!L17</f>
        <v>0</v>
      </c>
      <c r="AR15" s="298">
        <f>R15-'hoaki dram19'!M17</f>
        <v>0</v>
      </c>
      <c r="AS15" s="306">
        <f>S15-'hoaki dram19'!N17</f>
        <v>0</v>
      </c>
      <c r="AT15" s="306">
        <f>T15-'hoaki dram19'!O17</f>
        <v>0</v>
      </c>
      <c r="AU15" s="306">
        <f>U15-'hoaki dram19'!P17</f>
        <v>0</v>
      </c>
      <c r="AV15" s="306">
        <f>V15-'hoaki dram19'!Q17</f>
        <v>0</v>
      </c>
      <c r="AW15" s="306">
        <f>W15-'hoaki dram19'!R17</f>
        <v>0</v>
      </c>
      <c r="AX15" s="306">
        <f>X15-'hoaki dram19'!S17</f>
        <v>0</v>
      </c>
      <c r="AY15" s="306">
        <f>Y15-'hoaki dram19'!T17</f>
        <v>0</v>
      </c>
      <c r="AZ15" s="306">
        <f>Z15-'hoaki dram19'!U17</f>
        <v>0</v>
      </c>
      <c r="BA15" s="306">
        <f>AA15-'hoaki dram19'!V17</f>
        <v>0</v>
      </c>
      <c r="BB15" s="306">
        <f>AB15-'hoaki dram19'!W17</f>
        <v>0</v>
      </c>
      <c r="BC15" s="306">
        <f>AC15-'hoaki dram19'!X17</f>
        <v>0</v>
      </c>
      <c r="BD15" s="306">
        <f>AD15-'hoaki dram19'!Y17</f>
        <v>0</v>
      </c>
      <c r="BE15" s="330">
        <f t="shared" si="2"/>
        <v>-0.8000000000000227</v>
      </c>
      <c r="BF15" s="306">
        <f>AH15-'hoaki dram19'!AC17</f>
        <v>0</v>
      </c>
      <c r="BG15" s="306">
        <f>AI15-'hoaki dram19'!AD17</f>
        <v>0</v>
      </c>
      <c r="BH15" s="306">
        <f>AJ15-'hoaki dram19'!AE17</f>
        <v>0</v>
      </c>
      <c r="BI15" s="306">
        <f t="shared" si="8"/>
        <v>0</v>
      </c>
      <c r="BJ15" s="330">
        <f t="shared" si="10"/>
        <v>-0.8000000000000227</v>
      </c>
      <c r="BK15" s="306">
        <f>H15-'hoaki dram19'!C17</f>
        <v>0</v>
      </c>
      <c r="BL15" s="306">
        <f>I15-'hoaki dram19'!D17</f>
        <v>0</v>
      </c>
      <c r="BM15" s="306">
        <f>J15-'hoaki dram19'!E17-G15</f>
        <v>-4.999999999997817</v>
      </c>
      <c r="BN15" s="329">
        <f t="shared" si="9"/>
        <v>-4.999999999997817</v>
      </c>
    </row>
    <row r="16" spans="1:67" s="311" customFormat="1" ht="25.5" customHeight="1" thickBot="1">
      <c r="A16" s="308" t="s">
        <v>205</v>
      </c>
      <c r="B16" s="309">
        <f aca="true" t="shared" si="11" ref="B16:P16">SUM(B4:B15)</f>
        <v>38.800000000000004</v>
      </c>
      <c r="C16" s="309">
        <f t="shared" si="11"/>
        <v>738.8000000000001</v>
      </c>
      <c r="D16" s="309">
        <f t="shared" si="11"/>
        <v>26.800000000000004</v>
      </c>
      <c r="E16" s="309">
        <f t="shared" si="11"/>
        <v>0</v>
      </c>
      <c r="F16" s="309">
        <f t="shared" si="11"/>
        <v>804.4</v>
      </c>
      <c r="G16" s="309">
        <f t="shared" si="11"/>
        <v>804.4</v>
      </c>
      <c r="H16" s="309">
        <f t="shared" si="11"/>
        <v>130</v>
      </c>
      <c r="I16" s="309">
        <f t="shared" si="11"/>
        <v>0</v>
      </c>
      <c r="J16" s="309">
        <f t="shared" si="11"/>
        <v>305823.5</v>
      </c>
      <c r="K16" s="309">
        <f t="shared" si="11"/>
        <v>305953.5</v>
      </c>
      <c r="L16" s="309">
        <f t="shared" si="11"/>
        <v>221247.30000000002</v>
      </c>
      <c r="M16" s="309"/>
      <c r="N16" s="309">
        <f t="shared" si="11"/>
        <v>9921.500000000002</v>
      </c>
      <c r="O16" s="309">
        <f t="shared" si="11"/>
        <v>2289.8999999999996</v>
      </c>
      <c r="P16" s="309">
        <f t="shared" si="11"/>
        <v>1202.3</v>
      </c>
      <c r="Q16" s="309">
        <f aca="true" t="shared" si="12" ref="Q16:BN16">SUM(Q4:Q15)</f>
        <v>0</v>
      </c>
      <c r="R16" s="309">
        <f t="shared" si="12"/>
        <v>0</v>
      </c>
      <c r="S16" s="309">
        <f t="shared" si="12"/>
        <v>0</v>
      </c>
      <c r="T16" s="309">
        <f t="shared" si="12"/>
        <v>25.2</v>
      </c>
      <c r="U16" s="309">
        <f t="shared" si="12"/>
        <v>2951.6000000000004</v>
      </c>
      <c r="V16" s="309">
        <f t="shared" si="12"/>
        <v>439.4</v>
      </c>
      <c r="W16" s="309">
        <f t="shared" si="12"/>
        <v>452.6</v>
      </c>
      <c r="X16" s="309">
        <f t="shared" si="12"/>
        <v>1870</v>
      </c>
      <c r="Y16" s="309">
        <f t="shared" si="12"/>
        <v>0</v>
      </c>
      <c r="Z16" s="309">
        <f t="shared" si="12"/>
        <v>0</v>
      </c>
      <c r="AA16" s="309">
        <f t="shared" si="12"/>
        <v>662</v>
      </c>
      <c r="AB16" s="309">
        <f t="shared" si="12"/>
        <v>62199.1</v>
      </c>
      <c r="AC16" s="309">
        <f t="shared" si="12"/>
        <v>801.6</v>
      </c>
      <c r="AD16" s="309">
        <f t="shared" si="12"/>
        <v>0</v>
      </c>
      <c r="AE16" s="309">
        <f t="shared" si="12"/>
        <v>304062.5</v>
      </c>
      <c r="AF16" s="309">
        <f t="shared" si="12"/>
        <v>0</v>
      </c>
      <c r="AG16" s="309">
        <f t="shared" si="12"/>
        <v>145</v>
      </c>
      <c r="AH16" s="309">
        <f t="shared" si="12"/>
        <v>0</v>
      </c>
      <c r="AI16" s="309">
        <f t="shared" si="12"/>
        <v>992</v>
      </c>
      <c r="AJ16" s="309">
        <f t="shared" si="12"/>
        <v>754</v>
      </c>
      <c r="AK16" s="309">
        <f t="shared" si="12"/>
        <v>1891</v>
      </c>
      <c r="AL16" s="309">
        <f t="shared" si="12"/>
        <v>305953.5</v>
      </c>
      <c r="AM16" s="309">
        <f t="shared" si="12"/>
        <v>0</v>
      </c>
      <c r="AN16" s="309">
        <f t="shared" si="12"/>
        <v>-497.69999999999993</v>
      </c>
      <c r="AO16" s="309">
        <f t="shared" si="12"/>
        <v>-45.20000000000001</v>
      </c>
      <c r="AP16" s="309">
        <f t="shared" si="12"/>
        <v>-1.299999999999983</v>
      </c>
      <c r="AQ16" s="309">
        <f t="shared" si="12"/>
        <v>0</v>
      </c>
      <c r="AR16" s="309">
        <f t="shared" si="12"/>
        <v>0</v>
      </c>
      <c r="AS16" s="309">
        <f t="shared" si="12"/>
        <v>0</v>
      </c>
      <c r="AT16" s="309">
        <f t="shared" si="12"/>
        <v>0</v>
      </c>
      <c r="AU16" s="309">
        <f t="shared" si="12"/>
        <v>0</v>
      </c>
      <c r="AV16" s="309">
        <f t="shared" si="12"/>
        <v>0</v>
      </c>
      <c r="AW16" s="309">
        <f t="shared" si="12"/>
        <v>0</v>
      </c>
      <c r="AX16" s="309">
        <f t="shared" si="12"/>
        <v>0</v>
      </c>
      <c r="AY16" s="309">
        <f t="shared" si="12"/>
        <v>0</v>
      </c>
      <c r="AZ16" s="309">
        <f t="shared" si="12"/>
        <v>0</v>
      </c>
      <c r="BA16" s="309">
        <f t="shared" si="12"/>
        <v>0</v>
      </c>
      <c r="BB16" s="309">
        <f t="shared" si="12"/>
        <v>0</v>
      </c>
      <c r="BC16" s="309">
        <f t="shared" si="12"/>
        <v>0</v>
      </c>
      <c r="BD16" s="309">
        <f t="shared" si="12"/>
        <v>0</v>
      </c>
      <c r="BE16" s="310">
        <f t="shared" si="12"/>
        <v>-544.1999999999999</v>
      </c>
      <c r="BF16" s="309">
        <f t="shared" si="12"/>
        <v>0</v>
      </c>
      <c r="BG16" s="309">
        <f t="shared" si="12"/>
        <v>0</v>
      </c>
      <c r="BH16" s="309">
        <f t="shared" si="12"/>
        <v>0</v>
      </c>
      <c r="BI16" s="309">
        <f t="shared" si="12"/>
        <v>0</v>
      </c>
      <c r="BJ16" s="309">
        <f t="shared" si="12"/>
        <v>-544.1999999999999</v>
      </c>
      <c r="BK16" s="309">
        <f t="shared" si="12"/>
        <v>0</v>
      </c>
      <c r="BL16" s="309">
        <f t="shared" si="12"/>
        <v>0</v>
      </c>
      <c r="BM16" s="309">
        <f t="shared" si="12"/>
        <v>-578.0000000000131</v>
      </c>
      <c r="BN16" s="308">
        <f t="shared" si="12"/>
        <v>-578.0000000000131</v>
      </c>
      <c r="BO16" s="294"/>
    </row>
    <row r="17" spans="1:66" s="294" customFormat="1" ht="19.5" customHeight="1">
      <c r="A17" s="296" t="s">
        <v>199</v>
      </c>
      <c r="B17" s="476"/>
      <c r="C17" s="297">
        <v>278.6</v>
      </c>
      <c r="D17" s="298">
        <v>1.4</v>
      </c>
      <c r="E17" s="298"/>
      <c r="F17" s="329">
        <f t="shared" si="3"/>
        <v>280</v>
      </c>
      <c r="G17" s="335">
        <f t="shared" si="4"/>
        <v>280</v>
      </c>
      <c r="H17" s="298"/>
      <c r="I17" s="298">
        <v>2800.5</v>
      </c>
      <c r="J17" s="329">
        <f>AL17-H17-I17</f>
        <v>39306.5</v>
      </c>
      <c r="K17" s="339">
        <f t="shared" si="5"/>
        <v>42107</v>
      </c>
      <c r="L17" s="385">
        <v>40476</v>
      </c>
      <c r="M17" s="385"/>
      <c r="N17" s="298">
        <v>866.1</v>
      </c>
      <c r="O17" s="298">
        <v>178.4</v>
      </c>
      <c r="P17" s="298">
        <v>139.6</v>
      </c>
      <c r="Q17" s="298"/>
      <c r="R17" s="298"/>
      <c r="S17" s="298"/>
      <c r="T17" s="305"/>
      <c r="U17" s="298">
        <v>43.3</v>
      </c>
      <c r="V17" s="301"/>
      <c r="W17" s="298"/>
      <c r="X17" s="298">
        <v>268.6</v>
      </c>
      <c r="Y17" s="298"/>
      <c r="Z17" s="298"/>
      <c r="AA17" s="298"/>
      <c r="AB17" s="298">
        <v>135</v>
      </c>
      <c r="AC17" s="298"/>
      <c r="AD17" s="298"/>
      <c r="AE17" s="329">
        <f>SUM(L17:AD17)</f>
        <v>42107</v>
      </c>
      <c r="AF17" s="329"/>
      <c r="AG17" s="329"/>
      <c r="AH17" s="298"/>
      <c r="AI17" s="298"/>
      <c r="AJ17" s="298"/>
      <c r="AK17" s="329">
        <f>SUM(AH17:AJ17)</f>
        <v>0</v>
      </c>
      <c r="AL17" s="329">
        <f>SUM(AE17+AK17)</f>
        <v>42107</v>
      </c>
      <c r="AM17" s="298">
        <f>L17-'hoaki dram19'!G19</f>
        <v>0</v>
      </c>
      <c r="AN17" s="298">
        <f>N17-'hoaki dram19'!I19-C17</f>
        <v>-231.60000000000002</v>
      </c>
      <c r="AO17" s="298">
        <f>O17-'hoaki dram19'!J19-D17</f>
        <v>5.773159728050814E-15</v>
      </c>
      <c r="AP17" s="298">
        <f>P17-'hoaki dram19'!K19-E17</f>
        <v>0</v>
      </c>
      <c r="AQ17" s="298">
        <f>Q17-'hoaki dram19'!L19</f>
        <v>0</v>
      </c>
      <c r="AR17" s="298">
        <f>R17-'hoaki dram19'!M19</f>
        <v>0</v>
      </c>
      <c r="AS17" s="298">
        <f>S17-'hoaki dram19'!N19</f>
        <v>0</v>
      </c>
      <c r="AT17" s="298">
        <f>T17-'hoaki dram19'!O19</f>
        <v>0</v>
      </c>
      <c r="AU17" s="298">
        <f>U17-'hoaki dram19'!P19</f>
        <v>0</v>
      </c>
      <c r="AV17" s="298">
        <f>V17-'hoaki dram19'!Q19</f>
        <v>0</v>
      </c>
      <c r="AW17" s="298">
        <f>W17-'hoaki dram19'!R19</f>
        <v>0</v>
      </c>
      <c r="AX17" s="298">
        <f>X17-'hoaki dram19'!S19</f>
        <v>0</v>
      </c>
      <c r="AY17" s="298">
        <f>Y17-'hoaki dram19'!T19</f>
        <v>0</v>
      </c>
      <c r="AZ17" s="298">
        <f>Z17-'hoaki dram19'!U19</f>
        <v>0</v>
      </c>
      <c r="BA17" s="298">
        <f>AA17-'hoaki dram19'!V19</f>
        <v>0</v>
      </c>
      <c r="BB17" s="298">
        <f>AB17-'hoaki dram19'!W19</f>
        <v>0</v>
      </c>
      <c r="BC17" s="298">
        <f>AC17-'hoaki dram19'!X19</f>
        <v>0</v>
      </c>
      <c r="BD17" s="298">
        <f>AD17-'hoaki dram19'!Y19</f>
        <v>0</v>
      </c>
      <c r="BE17" s="329">
        <f>AM17+AN17+AO17+AP17+AQ17+AR17+AS17+AT17+AU17+AV17+AW17+AZ17++BB17+BC17+BD17+BA17+AX17+AY17</f>
        <v>-231.60000000000002</v>
      </c>
      <c r="BF17" s="298">
        <f>AH17-'hoaki dram19'!AC19</f>
        <v>0</v>
      </c>
      <c r="BG17" s="298">
        <f>AI17-'hoaki dram19'!AD19</f>
        <v>0</v>
      </c>
      <c r="BH17" s="298">
        <f>AJ17-'hoaki dram19'!AE19</f>
        <v>0</v>
      </c>
      <c r="BI17" s="298">
        <f>BF17+BG17+BH17</f>
        <v>0</v>
      </c>
      <c r="BJ17" s="329">
        <f t="shared" si="10"/>
        <v>-231.60000000000002</v>
      </c>
      <c r="BK17" s="298">
        <f>H17-'hoaki dram19'!C19</f>
        <v>0</v>
      </c>
      <c r="BL17" s="298">
        <f>I17-'hoaki dram19'!D19</f>
        <v>0</v>
      </c>
      <c r="BM17" s="298">
        <f>J17-'hoaki dram19'!E19-G17</f>
        <v>-231.59999999999854</v>
      </c>
      <c r="BN17" s="329">
        <f t="shared" si="9"/>
        <v>-231.59999999999854</v>
      </c>
    </row>
    <row r="18" spans="1:66" s="294" customFormat="1" ht="19.5" customHeight="1">
      <c r="A18" s="312" t="s">
        <v>200</v>
      </c>
      <c r="B18" s="478"/>
      <c r="C18" s="303"/>
      <c r="D18" s="300">
        <v>2.3</v>
      </c>
      <c r="E18" s="300"/>
      <c r="F18" s="329">
        <f t="shared" si="3"/>
        <v>2.3</v>
      </c>
      <c r="G18" s="335">
        <f t="shared" si="4"/>
        <v>2.3</v>
      </c>
      <c r="H18" s="300"/>
      <c r="I18" s="300">
        <v>1166.9</v>
      </c>
      <c r="J18" s="329">
        <f>AL18-H18-I18</f>
        <v>20453.3</v>
      </c>
      <c r="K18" s="339">
        <f t="shared" si="5"/>
        <v>21620.2</v>
      </c>
      <c r="L18" s="393">
        <v>20572.1</v>
      </c>
      <c r="M18" s="393"/>
      <c r="N18" s="393">
        <v>827.8</v>
      </c>
      <c r="O18" s="393">
        <v>48.4</v>
      </c>
      <c r="P18" s="393">
        <v>99.9</v>
      </c>
      <c r="Q18" s="393"/>
      <c r="R18" s="393"/>
      <c r="S18" s="393"/>
      <c r="T18" s="393"/>
      <c r="U18" s="300"/>
      <c r="V18" s="302"/>
      <c r="W18" s="300"/>
      <c r="X18" s="300">
        <v>45</v>
      </c>
      <c r="Y18" s="300"/>
      <c r="Z18" s="300"/>
      <c r="AA18" s="300"/>
      <c r="AB18" s="300">
        <v>27</v>
      </c>
      <c r="AC18" s="300"/>
      <c r="AD18" s="300"/>
      <c r="AE18" s="342">
        <f>SUM(L18:AD18)</f>
        <v>21620.2</v>
      </c>
      <c r="AF18" s="342"/>
      <c r="AG18" s="342"/>
      <c r="AH18" s="300"/>
      <c r="AI18" s="300"/>
      <c r="AJ18" s="300"/>
      <c r="AK18" s="342">
        <f>SUM(AH18:AJ18)</f>
        <v>0</v>
      </c>
      <c r="AL18" s="342">
        <f>SUM(AE18,AK18)</f>
        <v>21620.2</v>
      </c>
      <c r="AM18" s="298">
        <f>L18-'hoaki dram19'!G20</f>
        <v>0</v>
      </c>
      <c r="AN18" s="298">
        <f>N18-'hoaki dram19'!I20-C18</f>
        <v>-25.5</v>
      </c>
      <c r="AO18" s="298">
        <f>O18-'hoaki dram19'!J20-D18</f>
        <v>-0.7999999999999998</v>
      </c>
      <c r="AP18" s="298">
        <f>P18-'hoaki dram19'!K20-E18</f>
        <v>0</v>
      </c>
      <c r="AQ18" s="298">
        <f>Q18-'hoaki dram19'!L20</f>
        <v>0</v>
      </c>
      <c r="AR18" s="298">
        <f>R18-'hoaki dram19'!M20</f>
        <v>0</v>
      </c>
      <c r="AS18" s="298">
        <f>S18-'hoaki dram19'!N20</f>
        <v>0</v>
      </c>
      <c r="AT18" s="298">
        <f>T18-'hoaki dram19'!O20</f>
        <v>0</v>
      </c>
      <c r="AU18" s="298">
        <f>U18-'hoaki dram19'!P20</f>
        <v>0</v>
      </c>
      <c r="AV18" s="298">
        <f>V18-'hoaki dram19'!Q20</f>
        <v>0</v>
      </c>
      <c r="AW18" s="298">
        <f>W18-'hoaki dram19'!R20</f>
        <v>0</v>
      </c>
      <c r="AX18" s="298">
        <f>X18-'hoaki dram19'!S20</f>
        <v>0</v>
      </c>
      <c r="AY18" s="298">
        <f>Y18-'hoaki dram19'!T20</f>
        <v>0</v>
      </c>
      <c r="AZ18" s="298">
        <f>Z18-'hoaki dram19'!U20</f>
        <v>0</v>
      </c>
      <c r="BA18" s="298">
        <f>AA18-'hoaki dram19'!V20</f>
        <v>0</v>
      </c>
      <c r="BB18" s="298">
        <f>AB18-'hoaki dram19'!W20</f>
        <v>0</v>
      </c>
      <c r="BC18" s="298">
        <f>AC18-'hoaki dram19'!X20</f>
        <v>0</v>
      </c>
      <c r="BD18" s="298">
        <f>AD18-'hoaki dram19'!Y20</f>
        <v>0</v>
      </c>
      <c r="BE18" s="329">
        <f>AM18+AN18+AO18+AP18+AQ18+AR18+AS18+AT18+AU18+AV18+AW18+AZ18++BB18+BC18+BD18+BA18+AX18+AY18</f>
        <v>-26.3</v>
      </c>
      <c r="BF18" s="298">
        <f>AH18-'hoaki dram19'!AC20</f>
        <v>0</v>
      </c>
      <c r="BG18" s="298">
        <f>AI18-'hoaki dram19'!AD20</f>
        <v>0</v>
      </c>
      <c r="BH18" s="298">
        <f>AJ18-'hoaki dram19'!AE20</f>
        <v>0</v>
      </c>
      <c r="BI18" s="298">
        <f aca="true" t="shared" si="13" ref="BI18:BI27">BF18+BG18+BH18</f>
        <v>0</v>
      </c>
      <c r="BJ18" s="329">
        <f t="shared" si="10"/>
        <v>-26.3</v>
      </c>
      <c r="BK18" s="298">
        <f>H18-'hoaki dram19'!C20</f>
        <v>0</v>
      </c>
      <c r="BL18" s="298">
        <f>I18-'hoaki dram19'!D20</f>
        <v>0</v>
      </c>
      <c r="BM18" s="298">
        <f>J18-'hoaki dram19'!E20-G18</f>
        <v>-26.3</v>
      </c>
      <c r="BN18" s="329">
        <f t="shared" si="9"/>
        <v>-26.3</v>
      </c>
    </row>
    <row r="19" spans="1:66" s="294" customFormat="1" ht="19.5" customHeight="1">
      <c r="A19" s="313" t="s">
        <v>201</v>
      </c>
      <c r="B19" s="479"/>
      <c r="C19" s="303">
        <v>193.2</v>
      </c>
      <c r="D19" s="300"/>
      <c r="E19" s="300"/>
      <c r="F19" s="329">
        <f t="shared" si="3"/>
        <v>193.2</v>
      </c>
      <c r="G19" s="335">
        <f t="shared" si="4"/>
        <v>193.2</v>
      </c>
      <c r="H19" s="300"/>
      <c r="I19" s="300"/>
      <c r="J19" s="329">
        <f>AL19-H19-I19</f>
        <v>26224.2</v>
      </c>
      <c r="K19" s="339">
        <f t="shared" si="5"/>
        <v>26224.2</v>
      </c>
      <c r="L19" s="393">
        <v>21694</v>
      </c>
      <c r="M19" s="393"/>
      <c r="N19" s="300">
        <v>2364.6</v>
      </c>
      <c r="O19" s="300">
        <v>144.5</v>
      </c>
      <c r="P19" s="300">
        <v>99.5</v>
      </c>
      <c r="Q19" s="300"/>
      <c r="R19" s="300">
        <v>1583.9</v>
      </c>
      <c r="S19" s="300"/>
      <c r="T19" s="305"/>
      <c r="U19" s="300">
        <v>97.7</v>
      </c>
      <c r="V19" s="302"/>
      <c r="W19" s="300"/>
      <c r="X19" s="300">
        <v>60</v>
      </c>
      <c r="Y19" s="300"/>
      <c r="Z19" s="300"/>
      <c r="AA19" s="300">
        <v>20</v>
      </c>
      <c r="AB19" s="300">
        <v>140</v>
      </c>
      <c r="AC19" s="300"/>
      <c r="AD19" s="300"/>
      <c r="AE19" s="342">
        <f>SUM(L19:AD19)</f>
        <v>26204.2</v>
      </c>
      <c r="AF19" s="342"/>
      <c r="AG19" s="342"/>
      <c r="AH19" s="300"/>
      <c r="AI19" s="302">
        <v>20</v>
      </c>
      <c r="AJ19" s="300"/>
      <c r="AK19" s="342">
        <f>SUM(AH19:AJ19)</f>
        <v>20</v>
      </c>
      <c r="AL19" s="342">
        <f>SUM(AE19,AK19)</f>
        <v>26224.2</v>
      </c>
      <c r="AM19" s="298">
        <f>L19-'hoaki dram19'!G21</f>
        <v>0</v>
      </c>
      <c r="AN19" s="298">
        <f>N19-'hoaki dram19'!I21-C19</f>
        <v>-151.40000000000026</v>
      </c>
      <c r="AO19" s="298">
        <f>O19-'hoaki dram19'!J21-D19</f>
        <v>-5.599999999999994</v>
      </c>
      <c r="AP19" s="298">
        <f>P19-'hoaki dram19'!K21-E19</f>
        <v>-0.09999999999999432</v>
      </c>
      <c r="AQ19" s="298">
        <f>Q19-'hoaki dram19'!L21</f>
        <v>0</v>
      </c>
      <c r="AR19" s="298">
        <f>R19-'hoaki dram19'!M21</f>
        <v>0</v>
      </c>
      <c r="AS19" s="298">
        <f>S19-'hoaki dram19'!N21</f>
        <v>0</v>
      </c>
      <c r="AT19" s="298">
        <f>T19-'hoaki dram19'!O21</f>
        <v>0</v>
      </c>
      <c r="AU19" s="298">
        <f>U19-'hoaki dram19'!P21</f>
        <v>0</v>
      </c>
      <c r="AV19" s="298">
        <f>V19-'hoaki dram19'!Q21</f>
        <v>0</v>
      </c>
      <c r="AW19" s="298">
        <f>W19-'hoaki dram19'!R21</f>
        <v>0</v>
      </c>
      <c r="AX19" s="298">
        <f>X19-'hoaki dram19'!S21</f>
        <v>0</v>
      </c>
      <c r="AY19" s="298">
        <f>Y19-'hoaki dram19'!T21</f>
        <v>0</v>
      </c>
      <c r="AZ19" s="298">
        <f>Z19-'hoaki dram19'!U21</f>
        <v>0</v>
      </c>
      <c r="BA19" s="298">
        <f>AA19-'hoaki dram19'!V21</f>
        <v>0</v>
      </c>
      <c r="BB19" s="298">
        <f>AB19-'hoaki dram19'!W21</f>
        <v>0</v>
      </c>
      <c r="BC19" s="298">
        <f>AC19-'hoaki dram19'!X21</f>
        <v>0</v>
      </c>
      <c r="BD19" s="298">
        <f>AD19-'hoaki dram19'!Y21</f>
        <v>0</v>
      </c>
      <c r="BE19" s="329">
        <f>AM19+AN19+AO19+AP19+AQ19+AR19+AS19+AT19+AU19+AV19+AW19+AZ19++BB19+BC19+BD19+BA19+AX19+AY19</f>
        <v>-157.10000000000025</v>
      </c>
      <c r="BF19" s="298">
        <f>AH19-'hoaki dram19'!AC21</f>
        <v>0</v>
      </c>
      <c r="BG19" s="298">
        <f>AI19-'hoaki dram19'!AD21</f>
        <v>0</v>
      </c>
      <c r="BH19" s="298">
        <f>AJ19-'hoaki dram19'!AE21</f>
        <v>0</v>
      </c>
      <c r="BI19" s="298">
        <f t="shared" si="13"/>
        <v>0</v>
      </c>
      <c r="BJ19" s="329">
        <f t="shared" si="10"/>
        <v>-157.10000000000025</v>
      </c>
      <c r="BK19" s="298">
        <f>H19-'hoaki dram19'!C21</f>
        <v>0</v>
      </c>
      <c r="BL19" s="298">
        <f>I19-'hoaki dram19'!D21</f>
        <v>0</v>
      </c>
      <c r="BM19" s="298">
        <f>J19-'hoaki dram19'!E21-G19</f>
        <v>-157.0999999999978</v>
      </c>
      <c r="BN19" s="329">
        <f t="shared" si="9"/>
        <v>-157.0999999999978</v>
      </c>
    </row>
    <row r="20" spans="1:66" s="294" customFormat="1" ht="19.5" customHeight="1">
      <c r="A20" s="313" t="s">
        <v>202</v>
      </c>
      <c r="B20" s="479"/>
      <c r="C20" s="303">
        <v>125.9</v>
      </c>
      <c r="D20" s="300"/>
      <c r="E20" s="300"/>
      <c r="F20" s="329">
        <f t="shared" si="3"/>
        <v>125.9</v>
      </c>
      <c r="G20" s="335">
        <f t="shared" si="4"/>
        <v>125.9</v>
      </c>
      <c r="H20" s="300"/>
      <c r="I20" s="300"/>
      <c r="J20" s="329">
        <f>AL20-H20-I20</f>
        <v>15373.500000000002</v>
      </c>
      <c r="K20" s="339">
        <f t="shared" si="5"/>
        <v>15373.500000000002</v>
      </c>
      <c r="L20" s="393">
        <v>13014.2</v>
      </c>
      <c r="M20" s="393"/>
      <c r="N20" s="300">
        <v>908.7</v>
      </c>
      <c r="O20" s="300">
        <v>89</v>
      </c>
      <c r="P20" s="300">
        <v>99.6</v>
      </c>
      <c r="Q20" s="300"/>
      <c r="R20" s="300">
        <v>988.7</v>
      </c>
      <c r="S20" s="300"/>
      <c r="T20" s="305"/>
      <c r="U20" s="300">
        <v>28.3</v>
      </c>
      <c r="V20" s="302"/>
      <c r="W20" s="300"/>
      <c r="X20" s="300">
        <v>60</v>
      </c>
      <c r="Y20" s="300"/>
      <c r="Z20" s="300"/>
      <c r="AA20" s="300">
        <v>15</v>
      </c>
      <c r="AB20" s="300">
        <v>60</v>
      </c>
      <c r="AC20" s="300"/>
      <c r="AD20" s="300"/>
      <c r="AE20" s="342">
        <f>SUM(L20:AD20)</f>
        <v>15263.500000000002</v>
      </c>
      <c r="AF20" s="342"/>
      <c r="AG20" s="342"/>
      <c r="AH20" s="300"/>
      <c r="AI20" s="302">
        <v>110</v>
      </c>
      <c r="AJ20" s="300"/>
      <c r="AK20" s="342">
        <f>SUM(AH20:AJ20)</f>
        <v>110</v>
      </c>
      <c r="AL20" s="342">
        <f>SUM(AE20,AK20)</f>
        <v>15373.500000000002</v>
      </c>
      <c r="AM20" s="298">
        <f>L20-'hoaki dram19'!G22</f>
        <v>0</v>
      </c>
      <c r="AN20" s="298">
        <f>N20-'hoaki dram19'!I22-C20</f>
        <v>-109.4</v>
      </c>
      <c r="AO20" s="298">
        <f>O20-'hoaki dram19'!J22-D20</f>
        <v>0</v>
      </c>
      <c r="AP20" s="298">
        <f>P20-'hoaki dram19'!K22-E20</f>
        <v>0</v>
      </c>
      <c r="AQ20" s="298">
        <f>Q20-'hoaki dram19'!L22</f>
        <v>0</v>
      </c>
      <c r="AR20" s="298">
        <f>R20-'hoaki dram19'!M22</f>
        <v>0</v>
      </c>
      <c r="AS20" s="298">
        <f>S20-'hoaki dram19'!N22</f>
        <v>0</v>
      </c>
      <c r="AT20" s="298">
        <f>T20-'hoaki dram19'!O22</f>
        <v>0</v>
      </c>
      <c r="AU20" s="298">
        <f>U20-'hoaki dram19'!P22</f>
        <v>0</v>
      </c>
      <c r="AV20" s="298">
        <f>V20-'hoaki dram19'!Q22</f>
        <v>0</v>
      </c>
      <c r="AW20" s="298">
        <f>W20-'hoaki dram19'!R22</f>
        <v>0</v>
      </c>
      <c r="AX20" s="298">
        <f>X20-'hoaki dram19'!S22</f>
        <v>0</v>
      </c>
      <c r="AY20" s="298">
        <f>Y20-'hoaki dram19'!T22</f>
        <v>0</v>
      </c>
      <c r="AZ20" s="298">
        <f>Z20-'hoaki dram19'!U22</f>
        <v>0</v>
      </c>
      <c r="BA20" s="298">
        <f>AA20-'hoaki dram19'!V22</f>
        <v>0</v>
      </c>
      <c r="BB20" s="298">
        <f>AB20-'hoaki dram19'!W22</f>
        <v>0</v>
      </c>
      <c r="BC20" s="298">
        <f>AC20-'hoaki dram19'!X22</f>
        <v>0</v>
      </c>
      <c r="BD20" s="298">
        <f>AD20-'hoaki dram19'!Y22</f>
        <v>0</v>
      </c>
      <c r="BE20" s="329">
        <f>AM20+AN20+AO20+AP20+AQ20+AR20+AS20+AT20+AU20+AV20+AW20+AZ20++BB20+BC20+BD20+BA20+AX20+AY20</f>
        <v>-109.4</v>
      </c>
      <c r="BF20" s="298">
        <f>AH20-'hoaki dram19'!AC22</f>
        <v>0</v>
      </c>
      <c r="BG20" s="298">
        <f>AI20-'hoaki dram19'!AD22</f>
        <v>0</v>
      </c>
      <c r="BH20" s="298">
        <f>AJ20-'hoaki dram19'!AE22</f>
        <v>0</v>
      </c>
      <c r="BI20" s="298">
        <f t="shared" si="13"/>
        <v>0</v>
      </c>
      <c r="BJ20" s="329">
        <f t="shared" si="10"/>
        <v>-109.4</v>
      </c>
      <c r="BK20" s="298">
        <f>H20-'hoaki dram19'!C22</f>
        <v>0</v>
      </c>
      <c r="BL20" s="298">
        <f>I20-'hoaki dram19'!D22</f>
        <v>0</v>
      </c>
      <c r="BM20" s="298">
        <f>J20-'hoaki dram19'!E22-G20</f>
        <v>-109.39999999999819</v>
      </c>
      <c r="BN20" s="329">
        <f t="shared" si="9"/>
        <v>-109.39999999999819</v>
      </c>
    </row>
    <row r="21" spans="1:67" s="294" customFormat="1" ht="21.75" customHeight="1" thickBot="1">
      <c r="A21" s="313" t="s">
        <v>203</v>
      </c>
      <c r="B21" s="479"/>
      <c r="C21" s="303">
        <v>71.4</v>
      </c>
      <c r="D21" s="300"/>
      <c r="E21" s="300"/>
      <c r="F21" s="329">
        <f t="shared" si="3"/>
        <v>71.4</v>
      </c>
      <c r="G21" s="335">
        <f t="shared" si="4"/>
        <v>71.4</v>
      </c>
      <c r="H21" s="300"/>
      <c r="I21" s="300"/>
      <c r="J21" s="329">
        <f>AL21-H21-I21</f>
        <v>10052.2</v>
      </c>
      <c r="K21" s="339">
        <f t="shared" si="5"/>
        <v>10052.2</v>
      </c>
      <c r="L21" s="403">
        <v>8649.8</v>
      </c>
      <c r="M21" s="403"/>
      <c r="N21" s="300">
        <v>645.4</v>
      </c>
      <c r="O21" s="300">
        <v>46.6</v>
      </c>
      <c r="P21" s="300">
        <v>99.6</v>
      </c>
      <c r="Q21" s="300"/>
      <c r="R21" s="300">
        <v>517.6</v>
      </c>
      <c r="S21" s="300"/>
      <c r="T21" s="305"/>
      <c r="U21" s="300">
        <v>13.2</v>
      </c>
      <c r="V21" s="302"/>
      <c r="W21" s="300"/>
      <c r="X21" s="300">
        <v>40</v>
      </c>
      <c r="Y21" s="300"/>
      <c r="Z21" s="300"/>
      <c r="AA21" s="300"/>
      <c r="AB21" s="300">
        <v>40</v>
      </c>
      <c r="AC21" s="300"/>
      <c r="AD21" s="300"/>
      <c r="AE21" s="342">
        <f>SUM(L21:AD21)</f>
        <v>10052.2</v>
      </c>
      <c r="AF21" s="342"/>
      <c r="AG21" s="342"/>
      <c r="AH21" s="300"/>
      <c r="AI21" s="300"/>
      <c r="AJ21" s="300"/>
      <c r="AK21" s="342">
        <f>SUM(AH21:AJ21)</f>
        <v>0</v>
      </c>
      <c r="AL21" s="342">
        <f>SUM(AE21,AK21)</f>
        <v>10052.2</v>
      </c>
      <c r="AM21" s="298">
        <f>L21-'hoaki dram19'!G23</f>
        <v>0</v>
      </c>
      <c r="AN21" s="298">
        <f>N21-'hoaki dram19'!I23-C21</f>
        <v>-67.50000000000003</v>
      </c>
      <c r="AO21" s="298">
        <f>O21-'hoaki dram19'!J23-D21</f>
        <v>-0.7999999999999972</v>
      </c>
      <c r="AP21" s="298">
        <f>P21-'hoaki dram19'!K23-E21</f>
        <v>0</v>
      </c>
      <c r="AQ21" s="298">
        <f>Q21-'hoaki dram19'!L23</f>
        <v>0</v>
      </c>
      <c r="AR21" s="298">
        <f>R21-'hoaki dram19'!M23</f>
        <v>0</v>
      </c>
      <c r="AS21" s="298">
        <f>S21-'hoaki dram19'!N23</f>
        <v>0</v>
      </c>
      <c r="AT21" s="298">
        <f>T21-'hoaki dram19'!O23</f>
        <v>0</v>
      </c>
      <c r="AU21" s="298">
        <f>U21-'hoaki dram19'!P23</f>
        <v>0</v>
      </c>
      <c r="AV21" s="298">
        <f>V21-'hoaki dram19'!Q23</f>
        <v>0</v>
      </c>
      <c r="AW21" s="298">
        <f>W21-'hoaki dram19'!R23</f>
        <v>0</v>
      </c>
      <c r="AX21" s="298">
        <f>X21-'hoaki dram19'!S23</f>
        <v>0</v>
      </c>
      <c r="AY21" s="298">
        <f>Y21-'hoaki dram19'!T23</f>
        <v>0</v>
      </c>
      <c r="AZ21" s="298">
        <f>Z21-'hoaki dram19'!U23</f>
        <v>0</v>
      </c>
      <c r="BA21" s="298">
        <f>AA21-'hoaki dram19'!V23</f>
        <v>0</v>
      </c>
      <c r="BB21" s="298">
        <f>AB21-'hoaki dram19'!W23</f>
        <v>0</v>
      </c>
      <c r="BC21" s="298">
        <f>AC21-'hoaki dram19'!X23</f>
        <v>0</v>
      </c>
      <c r="BD21" s="298">
        <f>AD21-'hoaki dram19'!Y23</f>
        <v>0</v>
      </c>
      <c r="BE21" s="329">
        <f>AM21+AN21+AO21+AP21+AQ21+AR21+AS21+AT21+AU21+AV21+AW21+AZ21++BB21+BC21+BD21+BA21+AX21+AY21</f>
        <v>-68.30000000000003</v>
      </c>
      <c r="BF21" s="298">
        <f>AH21-'hoaki dram19'!AC23</f>
        <v>0</v>
      </c>
      <c r="BG21" s="298">
        <f>AI21-'hoaki dram19'!AD23</f>
        <v>0</v>
      </c>
      <c r="BH21" s="298">
        <f>AJ21-'hoaki dram19'!AE23</f>
        <v>0</v>
      </c>
      <c r="BI21" s="298">
        <f t="shared" si="13"/>
        <v>0</v>
      </c>
      <c r="BJ21" s="329">
        <f t="shared" si="10"/>
        <v>-68.30000000000003</v>
      </c>
      <c r="BK21" s="298">
        <f>H21-'hoaki dram19'!C23</f>
        <v>0</v>
      </c>
      <c r="BL21" s="298">
        <f>I21-'hoaki dram19'!D23</f>
        <v>0</v>
      </c>
      <c r="BM21" s="298">
        <f>J21-'hoaki dram19'!E23-G21</f>
        <v>-68.29999999999964</v>
      </c>
      <c r="BN21" s="329">
        <f t="shared" si="9"/>
        <v>-68.29999999999964</v>
      </c>
      <c r="BO21" s="294" t="s">
        <v>246</v>
      </c>
    </row>
    <row r="22" spans="1:66" s="311" customFormat="1" ht="25.5" customHeight="1" thickBot="1">
      <c r="A22" s="308" t="s">
        <v>204</v>
      </c>
      <c r="B22" s="309">
        <f>B17+B18+B19+B20+B21</f>
        <v>0</v>
      </c>
      <c r="C22" s="309">
        <f>C17+C18+C19+C20+C21</f>
        <v>669.1</v>
      </c>
      <c r="D22" s="309">
        <f aca="true" t="shared" si="14" ref="D22:BN22">D17+D18+D19+D20+D21</f>
        <v>3.6999999999999997</v>
      </c>
      <c r="E22" s="309">
        <f t="shared" si="14"/>
        <v>0</v>
      </c>
      <c r="F22" s="309">
        <f t="shared" si="14"/>
        <v>672.8</v>
      </c>
      <c r="G22" s="309">
        <f t="shared" si="14"/>
        <v>672.8</v>
      </c>
      <c r="H22" s="309">
        <f t="shared" si="14"/>
        <v>0</v>
      </c>
      <c r="I22" s="309">
        <f t="shared" si="14"/>
        <v>3967.4</v>
      </c>
      <c r="J22" s="309">
        <f t="shared" si="14"/>
        <v>111409.7</v>
      </c>
      <c r="K22" s="309">
        <f t="shared" si="14"/>
        <v>115377.09999999999</v>
      </c>
      <c r="L22" s="309">
        <f t="shared" si="14"/>
        <v>104406.1</v>
      </c>
      <c r="M22" s="309"/>
      <c r="N22" s="309">
        <f t="shared" si="14"/>
        <v>5612.599999999999</v>
      </c>
      <c r="O22" s="309">
        <f t="shared" si="14"/>
        <v>506.90000000000003</v>
      </c>
      <c r="P22" s="309">
        <f t="shared" si="14"/>
        <v>538.2</v>
      </c>
      <c r="Q22" s="309">
        <f t="shared" si="14"/>
        <v>0</v>
      </c>
      <c r="R22" s="309">
        <f t="shared" si="14"/>
        <v>3090.2000000000003</v>
      </c>
      <c r="S22" s="309">
        <f t="shared" si="14"/>
        <v>0</v>
      </c>
      <c r="T22" s="309">
        <f t="shared" si="14"/>
        <v>0</v>
      </c>
      <c r="U22" s="309">
        <f t="shared" si="14"/>
        <v>182.5</v>
      </c>
      <c r="V22" s="310">
        <f t="shared" si="14"/>
        <v>0</v>
      </c>
      <c r="W22" s="309">
        <f t="shared" si="14"/>
        <v>0</v>
      </c>
      <c r="X22" s="309">
        <f t="shared" si="14"/>
        <v>473.6</v>
      </c>
      <c r="Y22" s="309">
        <f t="shared" si="14"/>
        <v>0</v>
      </c>
      <c r="Z22" s="309">
        <f t="shared" si="14"/>
        <v>0</v>
      </c>
      <c r="AA22" s="309">
        <f t="shared" si="14"/>
        <v>35</v>
      </c>
      <c r="AB22" s="309">
        <f t="shared" si="14"/>
        <v>402</v>
      </c>
      <c r="AC22" s="309">
        <f t="shared" si="14"/>
        <v>0</v>
      </c>
      <c r="AD22" s="309">
        <f t="shared" si="14"/>
        <v>0</v>
      </c>
      <c r="AE22" s="309">
        <f t="shared" si="14"/>
        <v>115247.09999999999</v>
      </c>
      <c r="AF22" s="309">
        <f t="shared" si="14"/>
        <v>0</v>
      </c>
      <c r="AG22" s="309"/>
      <c r="AH22" s="309">
        <f t="shared" si="14"/>
        <v>0</v>
      </c>
      <c r="AI22" s="310">
        <f t="shared" si="14"/>
        <v>130</v>
      </c>
      <c r="AJ22" s="309">
        <f t="shared" si="14"/>
        <v>0</v>
      </c>
      <c r="AK22" s="309">
        <f t="shared" si="14"/>
        <v>130</v>
      </c>
      <c r="AL22" s="309">
        <f t="shared" si="14"/>
        <v>115377.09999999999</v>
      </c>
      <c r="AM22" s="309">
        <f t="shared" si="14"/>
        <v>0</v>
      </c>
      <c r="AN22" s="309">
        <f t="shared" si="14"/>
        <v>-585.4000000000003</v>
      </c>
      <c r="AO22" s="309">
        <f t="shared" si="14"/>
        <v>-7.199999999999985</v>
      </c>
      <c r="AP22" s="309">
        <f t="shared" si="14"/>
        <v>-0.09999999999999432</v>
      </c>
      <c r="AQ22" s="309">
        <f t="shared" si="14"/>
        <v>0</v>
      </c>
      <c r="AR22" s="309">
        <f t="shared" si="14"/>
        <v>0</v>
      </c>
      <c r="AS22" s="309">
        <f t="shared" si="14"/>
        <v>0</v>
      </c>
      <c r="AT22" s="309">
        <f t="shared" si="14"/>
        <v>0</v>
      </c>
      <c r="AU22" s="309">
        <f t="shared" si="14"/>
        <v>0</v>
      </c>
      <c r="AV22" s="309">
        <f t="shared" si="14"/>
        <v>0</v>
      </c>
      <c r="AW22" s="309">
        <f t="shared" si="14"/>
        <v>0</v>
      </c>
      <c r="AX22" s="309">
        <f t="shared" si="14"/>
        <v>0</v>
      </c>
      <c r="AY22" s="309">
        <f t="shared" si="14"/>
        <v>0</v>
      </c>
      <c r="AZ22" s="309">
        <f t="shared" si="14"/>
        <v>0</v>
      </c>
      <c r="BA22" s="309">
        <f t="shared" si="14"/>
        <v>0</v>
      </c>
      <c r="BB22" s="309">
        <f t="shared" si="14"/>
        <v>0</v>
      </c>
      <c r="BC22" s="309">
        <f t="shared" si="14"/>
        <v>0</v>
      </c>
      <c r="BD22" s="309">
        <f t="shared" si="14"/>
        <v>0</v>
      </c>
      <c r="BE22" s="309">
        <f t="shared" si="14"/>
        <v>-592.7000000000004</v>
      </c>
      <c r="BF22" s="309">
        <f t="shared" si="14"/>
        <v>0</v>
      </c>
      <c r="BG22" s="309">
        <f t="shared" si="14"/>
        <v>0</v>
      </c>
      <c r="BH22" s="309">
        <f t="shared" si="14"/>
        <v>0</v>
      </c>
      <c r="BI22" s="309">
        <f t="shared" si="14"/>
        <v>0</v>
      </c>
      <c r="BJ22" s="309">
        <f t="shared" si="14"/>
        <v>-592.7000000000004</v>
      </c>
      <c r="BK22" s="309">
        <f t="shared" si="14"/>
        <v>0</v>
      </c>
      <c r="BL22" s="309">
        <f t="shared" si="14"/>
        <v>0</v>
      </c>
      <c r="BM22" s="309">
        <f t="shared" si="14"/>
        <v>-592.6999999999941</v>
      </c>
      <c r="BN22" s="308">
        <f t="shared" si="14"/>
        <v>-592.6999999999941</v>
      </c>
    </row>
    <row r="23" spans="1:66" s="294" customFormat="1" ht="21.75" customHeight="1">
      <c r="A23" s="296" t="s">
        <v>225</v>
      </c>
      <c r="B23" s="476"/>
      <c r="C23" s="297">
        <v>1.9</v>
      </c>
      <c r="D23" s="298">
        <v>2</v>
      </c>
      <c r="E23" s="298"/>
      <c r="F23" s="329">
        <f t="shared" si="3"/>
        <v>3.9</v>
      </c>
      <c r="G23" s="335">
        <f t="shared" si="4"/>
        <v>3.9</v>
      </c>
      <c r="H23" s="298"/>
      <c r="I23" s="298"/>
      <c r="J23" s="329">
        <f>AL23-H23-I23</f>
        <v>16621.399999999998</v>
      </c>
      <c r="K23" s="339">
        <f t="shared" si="5"/>
        <v>16621.399999999998</v>
      </c>
      <c r="L23" s="393">
        <v>15986.3</v>
      </c>
      <c r="M23" s="403"/>
      <c r="N23" s="403">
        <v>376.2</v>
      </c>
      <c r="O23" s="403">
        <v>70.1</v>
      </c>
      <c r="P23" s="403">
        <v>100.8</v>
      </c>
      <c r="Q23" s="403"/>
      <c r="R23" s="403"/>
      <c r="S23" s="403"/>
      <c r="T23" s="403"/>
      <c r="U23" s="403"/>
      <c r="V23" s="403"/>
      <c r="W23" s="403"/>
      <c r="X23" s="403">
        <v>28</v>
      </c>
      <c r="Y23" s="403"/>
      <c r="Z23" s="403"/>
      <c r="AA23" s="403"/>
      <c r="AB23" s="403">
        <v>60</v>
      </c>
      <c r="AC23" s="298"/>
      <c r="AD23" s="298"/>
      <c r="AE23" s="329">
        <f>SUM(L23:AD23)</f>
        <v>16621.399999999998</v>
      </c>
      <c r="AF23" s="329"/>
      <c r="AG23" s="329"/>
      <c r="AH23" s="298"/>
      <c r="AI23" s="298"/>
      <c r="AJ23" s="298"/>
      <c r="AK23" s="329">
        <f>SUM(AF23:AJ23)</f>
        <v>0</v>
      </c>
      <c r="AL23" s="329">
        <f>SUM(AE23,AK23)</f>
        <v>16621.399999999998</v>
      </c>
      <c r="AM23" s="298">
        <f>L23-'hoaki dram19'!G25</f>
        <v>0</v>
      </c>
      <c r="AN23" s="298">
        <f>N23-'hoaki dram19'!I25-C23</f>
        <v>-2.2648549702353193E-14</v>
      </c>
      <c r="AO23" s="298">
        <f>O23-'hoaki dram19'!J25-D23</f>
        <v>0</v>
      </c>
      <c r="AP23" s="298">
        <f>P23-'hoaki dram19'!K25-E23</f>
        <v>0</v>
      </c>
      <c r="AQ23" s="298">
        <f>Q23-'hoaki dram19'!L25</f>
        <v>0</v>
      </c>
      <c r="AR23" s="298">
        <f>R23-'hoaki dram19'!M25</f>
        <v>0</v>
      </c>
      <c r="AS23" s="298">
        <f>S23-'hoaki dram19'!N25</f>
        <v>0</v>
      </c>
      <c r="AT23" s="298">
        <f>T23-'hoaki dram19'!O25</f>
        <v>0</v>
      </c>
      <c r="AU23" s="298">
        <f>U23-'hoaki dram19'!P25</f>
        <v>0</v>
      </c>
      <c r="AV23" s="298">
        <f>V23-'hoaki dram19'!Q25</f>
        <v>0</v>
      </c>
      <c r="AW23" s="298">
        <f>W23-'hoaki dram19'!R25</f>
        <v>0</v>
      </c>
      <c r="AX23" s="298">
        <f>X23-'hoaki dram19'!S25</f>
        <v>0</v>
      </c>
      <c r="AY23" s="298">
        <f>Y23-'hoaki dram19'!T25</f>
        <v>0</v>
      </c>
      <c r="AZ23" s="298">
        <f>Z23-'hoaki dram19'!U25</f>
        <v>0</v>
      </c>
      <c r="BA23" s="298">
        <f>AA23-'hoaki dram19'!V25</f>
        <v>0</v>
      </c>
      <c r="BB23" s="298">
        <f>AB23-'hoaki dram19'!W25</f>
        <v>0</v>
      </c>
      <c r="BC23" s="298">
        <f>AC23-'hoaki dram19'!X25</f>
        <v>0</v>
      </c>
      <c r="BD23" s="298">
        <f>AD23-'hoaki dram19'!Y25</f>
        <v>0</v>
      </c>
      <c r="BE23" s="329">
        <f>AM23+AN23+AO23+AP23+AQ23+AR23+AS23+AT23+AU23+AV23+AW23+AZ23++BB23+BC23+BD23+BA23+AX23+AY23</f>
        <v>-2.2648549702353193E-14</v>
      </c>
      <c r="BF23" s="298">
        <f>AH23-'hoaki dram19'!AC25</f>
        <v>0</v>
      </c>
      <c r="BG23" s="298">
        <f>AI23-'hoaki dram19'!AD25</f>
        <v>0</v>
      </c>
      <c r="BH23" s="298">
        <f>AJ23-'hoaki dram19'!AE25</f>
        <v>0</v>
      </c>
      <c r="BI23" s="298">
        <f t="shared" si="13"/>
        <v>0</v>
      </c>
      <c r="BJ23" s="329">
        <f t="shared" si="10"/>
        <v>-2.2648549702353193E-14</v>
      </c>
      <c r="BK23" s="298">
        <f>H23-'hoaki dram19'!C25</f>
        <v>0</v>
      </c>
      <c r="BL23" s="298">
        <f>I23-'hoaki dram19'!D25</f>
        <v>0</v>
      </c>
      <c r="BM23" s="298">
        <f>J23-'hoaki dram19'!E25-G23</f>
        <v>-2.1826984664130578E-12</v>
      </c>
      <c r="BN23" s="329">
        <f t="shared" si="9"/>
        <v>-2.1826984664130578E-12</v>
      </c>
    </row>
    <row r="24" spans="1:66" s="294" customFormat="1" ht="21.75" customHeight="1">
      <c r="A24" s="313" t="s">
        <v>206</v>
      </c>
      <c r="B24" s="479"/>
      <c r="C24" s="303">
        <v>35.6</v>
      </c>
      <c r="D24" s="300">
        <v>3.3</v>
      </c>
      <c r="E24" s="300"/>
      <c r="F24" s="329">
        <f t="shared" si="3"/>
        <v>38.9</v>
      </c>
      <c r="G24" s="335">
        <f t="shared" si="4"/>
        <v>38.9</v>
      </c>
      <c r="H24" s="300"/>
      <c r="I24" s="300"/>
      <c r="J24" s="329">
        <f>AL24-H24-I24</f>
        <v>12414.099999999999</v>
      </c>
      <c r="K24" s="339">
        <f t="shared" si="5"/>
        <v>12414.099999999999</v>
      </c>
      <c r="L24" s="393">
        <v>9769.3</v>
      </c>
      <c r="M24" s="403"/>
      <c r="N24" s="403">
        <v>558.4</v>
      </c>
      <c r="O24" s="403">
        <v>217.9</v>
      </c>
      <c r="P24" s="403">
        <v>42</v>
      </c>
      <c r="Q24" s="403"/>
      <c r="R24" s="403"/>
      <c r="S24" s="403"/>
      <c r="T24" s="403"/>
      <c r="U24" s="403"/>
      <c r="V24" s="403"/>
      <c r="W24" s="403"/>
      <c r="X24" s="403">
        <v>37</v>
      </c>
      <c r="Y24" s="557">
        <v>100</v>
      </c>
      <c r="Z24" s="403">
        <v>100</v>
      </c>
      <c r="AA24" s="403"/>
      <c r="AB24" s="300">
        <v>709.5</v>
      </c>
      <c r="AC24" s="300"/>
      <c r="AD24" s="300"/>
      <c r="AE24" s="342">
        <f>SUM(L24:AD24)</f>
        <v>11534.099999999999</v>
      </c>
      <c r="AF24" s="558">
        <v>880</v>
      </c>
      <c r="AG24" s="558"/>
      <c r="AH24" s="302"/>
      <c r="AI24" s="302"/>
      <c r="AJ24" s="300"/>
      <c r="AK24" s="329">
        <f>SUM(AF24:AJ24)</f>
        <v>880</v>
      </c>
      <c r="AL24" s="342">
        <f>SUM(AE24+AK24)</f>
        <v>12414.099999999999</v>
      </c>
      <c r="AM24" s="298">
        <f>L24-'hoaki dram19'!G26</f>
        <v>0</v>
      </c>
      <c r="AN24" s="298">
        <f>N24-'hoaki dram19'!I26-C24</f>
        <v>-51.200000000000024</v>
      </c>
      <c r="AO24" s="298">
        <f>O24-'hoaki dram19'!J26-D24</f>
        <v>-7.7000000000000055</v>
      </c>
      <c r="AP24" s="298">
        <f>P24-'hoaki dram19'!K26-E24</f>
        <v>0</v>
      </c>
      <c r="AQ24" s="298">
        <f>Q24-'hoaki dram19'!L26</f>
        <v>0</v>
      </c>
      <c r="AR24" s="298">
        <f>R24-'hoaki dram19'!M26</f>
        <v>0</v>
      </c>
      <c r="AS24" s="298">
        <f>S24-'hoaki dram19'!N26</f>
        <v>0</v>
      </c>
      <c r="AT24" s="298">
        <f>T24-'hoaki dram19'!O26</f>
        <v>0</v>
      </c>
      <c r="AU24" s="298">
        <f>U24-'hoaki dram19'!P26</f>
        <v>0</v>
      </c>
      <c r="AV24" s="298">
        <f>V24-'hoaki dram19'!Q26</f>
        <v>0</v>
      </c>
      <c r="AW24" s="298">
        <f>W24-'hoaki dram19'!R26</f>
        <v>0</v>
      </c>
      <c r="AX24" s="298">
        <f>X24-'hoaki dram19'!S26</f>
        <v>0</v>
      </c>
      <c r="AY24" s="298">
        <f>Y24-'hoaki dram19'!T26</f>
        <v>0</v>
      </c>
      <c r="AZ24" s="298">
        <f>Z24-'hoaki dram19'!U26</f>
        <v>0</v>
      </c>
      <c r="BA24" s="298">
        <f>AA24-'hoaki dram19'!V26</f>
        <v>0</v>
      </c>
      <c r="BB24" s="298">
        <f>AB24-'hoaki dram19'!W26</f>
        <v>0</v>
      </c>
      <c r="BC24" s="298">
        <f>AC24-'hoaki dram19'!X26</f>
        <v>0</v>
      </c>
      <c r="BD24" s="298">
        <f>AD24-'hoaki dram19'!Y26</f>
        <v>0</v>
      </c>
      <c r="BE24" s="329">
        <f>AM24+AN24+AO24+AP24+AQ24+AR24+AS24+AT24+AU24+AV24+AW24+AZ24++BB24+BC24+BD24+BA24+AX24+AY24</f>
        <v>-58.90000000000003</v>
      </c>
      <c r="BF24" s="298">
        <f>AH24-'hoaki dram19'!AC26</f>
        <v>0</v>
      </c>
      <c r="BG24" s="298">
        <f>AI24-'hoaki dram19'!AD26</f>
        <v>0</v>
      </c>
      <c r="BH24" s="298">
        <f>AJ24-'hoaki dram19'!AE26</f>
        <v>0</v>
      </c>
      <c r="BI24" s="298">
        <f t="shared" si="13"/>
        <v>0</v>
      </c>
      <c r="BJ24" s="329">
        <f>BE24+BI24</f>
        <v>-58.90000000000003</v>
      </c>
      <c r="BK24" s="298">
        <f>H24-'hoaki dram19'!C26</f>
        <v>0</v>
      </c>
      <c r="BL24" s="298">
        <f>I24-'hoaki dram19'!D26</f>
        <v>0</v>
      </c>
      <c r="BM24" s="298">
        <f>J24-'hoaki dram19'!E26-G24</f>
        <v>-58.90000000000182</v>
      </c>
      <c r="BN24" s="329">
        <f t="shared" si="9"/>
        <v>-58.90000000000182</v>
      </c>
    </row>
    <row r="25" spans="1:67" s="294" customFormat="1" ht="21.75" customHeight="1">
      <c r="A25" s="313" t="s">
        <v>207</v>
      </c>
      <c r="B25" s="479"/>
      <c r="C25" s="303">
        <v>6.2</v>
      </c>
      <c r="D25" s="300"/>
      <c r="E25" s="300"/>
      <c r="F25" s="329">
        <f t="shared" si="3"/>
        <v>6.2</v>
      </c>
      <c r="G25" s="335">
        <f t="shared" si="4"/>
        <v>6.2</v>
      </c>
      <c r="H25" s="300"/>
      <c r="I25" s="300"/>
      <c r="J25" s="329">
        <f>AL25-H25-I25</f>
        <v>20123.6</v>
      </c>
      <c r="K25" s="339">
        <f t="shared" si="5"/>
        <v>20123.6</v>
      </c>
      <c r="L25" s="393">
        <v>19603.8</v>
      </c>
      <c r="M25" s="403"/>
      <c r="N25" s="403">
        <v>96.9</v>
      </c>
      <c r="O25" s="403">
        <v>44</v>
      </c>
      <c r="P25" s="403">
        <v>141.6</v>
      </c>
      <c r="Q25" s="403"/>
      <c r="R25" s="403"/>
      <c r="S25" s="403">
        <v>57.3</v>
      </c>
      <c r="T25" s="403"/>
      <c r="U25" s="403"/>
      <c r="V25" s="403"/>
      <c r="W25" s="403"/>
      <c r="X25" s="403">
        <v>80</v>
      </c>
      <c r="Y25" s="403"/>
      <c r="Z25" s="403"/>
      <c r="AA25" s="403"/>
      <c r="AB25" s="300">
        <v>100</v>
      </c>
      <c r="AC25" s="300"/>
      <c r="AD25" s="300"/>
      <c r="AE25" s="342">
        <f>SUM(L25:AD25)</f>
        <v>20123.6</v>
      </c>
      <c r="AF25" s="558"/>
      <c r="AG25" s="558"/>
      <c r="AH25" s="302"/>
      <c r="AI25" s="302"/>
      <c r="AJ25" s="300"/>
      <c r="AK25" s="329">
        <f>SUM(AF25:AJ25)</f>
        <v>0</v>
      </c>
      <c r="AL25" s="342">
        <f>SUM(AE25,AK25)</f>
        <v>20123.6</v>
      </c>
      <c r="AM25" s="298">
        <f>L25-'hoaki dram19'!G27</f>
        <v>0</v>
      </c>
      <c r="AN25" s="298">
        <f>N25-'hoaki dram19'!I27-C25</f>
        <v>-6.999999999999997</v>
      </c>
      <c r="AO25" s="298">
        <f>O25-'hoaki dram19'!J27-D25</f>
        <v>0</v>
      </c>
      <c r="AP25" s="298">
        <f>P25-'hoaki dram19'!K27-E25</f>
        <v>0</v>
      </c>
      <c r="AQ25" s="298">
        <f>Q25-'hoaki dram19'!L27</f>
        <v>0</v>
      </c>
      <c r="AR25" s="298">
        <f>R25-'hoaki dram19'!M27</f>
        <v>0</v>
      </c>
      <c r="AS25" s="298">
        <f>S25-'hoaki dram19'!N27</f>
        <v>-0.6000000000000014</v>
      </c>
      <c r="AT25" s="298">
        <f>T25-'hoaki dram19'!O27</f>
        <v>0</v>
      </c>
      <c r="AU25" s="298">
        <f>U25-'hoaki dram19'!P27</f>
        <v>0</v>
      </c>
      <c r="AV25" s="298">
        <f>V25-'hoaki dram19'!Q27</f>
        <v>0</v>
      </c>
      <c r="AW25" s="298">
        <f>W25-'hoaki dram19'!R27</f>
        <v>0</v>
      </c>
      <c r="AX25" s="298">
        <f>X25-'hoaki dram19'!S27</f>
        <v>0</v>
      </c>
      <c r="AY25" s="298">
        <f>Y25-'hoaki dram19'!T27</f>
        <v>0</v>
      </c>
      <c r="AZ25" s="298">
        <f>Z25-'hoaki dram19'!U27</f>
        <v>0</v>
      </c>
      <c r="BA25" s="298">
        <f>AA25-'hoaki dram19'!V27</f>
        <v>0</v>
      </c>
      <c r="BB25" s="298">
        <f>AB25-'hoaki dram19'!W27</f>
        <v>0</v>
      </c>
      <c r="BC25" s="298">
        <f>AC25-'hoaki dram19'!X27</f>
        <v>0</v>
      </c>
      <c r="BD25" s="298">
        <f>AD25-'hoaki dram19'!Y27</f>
        <v>0</v>
      </c>
      <c r="BE25" s="329">
        <f>AM25+AN25+AO25+AP25+AQ25+AR25+AS25+AT25+AU25+AV25+AW25+AZ25++BB25+BC25+BD25+BA25+AX25+AY25</f>
        <v>-7.599999999999999</v>
      </c>
      <c r="BF25" s="298">
        <f>AH25-'hoaki dram19'!AC27</f>
        <v>0</v>
      </c>
      <c r="BG25" s="298">
        <f>AI25-'hoaki dram19'!AD27</f>
        <v>0</v>
      </c>
      <c r="BH25" s="298">
        <f>AJ25-'hoaki dram19'!AE27</f>
        <v>0</v>
      </c>
      <c r="BI25" s="298">
        <f t="shared" si="13"/>
        <v>0</v>
      </c>
      <c r="BJ25" s="329">
        <f>BE25+BI25</f>
        <v>-7.599999999999999</v>
      </c>
      <c r="BK25" s="298">
        <f>H25-'hoaki dram19'!C27</f>
        <v>0</v>
      </c>
      <c r="BL25" s="298">
        <f>I25-'hoaki dram19'!D27</f>
        <v>0</v>
      </c>
      <c r="BM25" s="298">
        <f>J25-'hoaki dram19'!E27-G25</f>
        <v>-7.600000000001455</v>
      </c>
      <c r="BN25" s="329">
        <f t="shared" si="9"/>
        <v>-7.600000000001455</v>
      </c>
      <c r="BO25" s="294" t="s">
        <v>87</v>
      </c>
    </row>
    <row r="26" spans="1:66" s="294" customFormat="1" ht="21.75" customHeight="1">
      <c r="A26" s="313" t="s">
        <v>208</v>
      </c>
      <c r="B26" s="479"/>
      <c r="C26" s="303">
        <v>0.5</v>
      </c>
      <c r="D26" s="300"/>
      <c r="E26" s="300"/>
      <c r="F26" s="329">
        <f t="shared" si="3"/>
        <v>0.5</v>
      </c>
      <c r="G26" s="335">
        <f t="shared" si="4"/>
        <v>0.5</v>
      </c>
      <c r="H26" s="300"/>
      <c r="I26" s="300"/>
      <c r="J26" s="329">
        <f>AL26-H26-I26</f>
        <v>22953.9</v>
      </c>
      <c r="K26" s="342">
        <f t="shared" si="5"/>
        <v>22953.9</v>
      </c>
      <c r="L26" s="393">
        <v>8663.6</v>
      </c>
      <c r="M26" s="393"/>
      <c r="N26" s="300">
        <v>8569.5</v>
      </c>
      <c r="O26" s="300"/>
      <c r="P26" s="300">
        <v>42</v>
      </c>
      <c r="Q26" s="300"/>
      <c r="R26" s="300"/>
      <c r="S26" s="300"/>
      <c r="T26" s="305"/>
      <c r="U26" s="300"/>
      <c r="V26" s="300"/>
      <c r="W26" s="300">
        <v>1720.5</v>
      </c>
      <c r="X26" s="300">
        <v>60</v>
      </c>
      <c r="Y26" s="302"/>
      <c r="Z26" s="300">
        <v>399.9</v>
      </c>
      <c r="AA26" s="300"/>
      <c r="AB26" s="300">
        <v>3498.4</v>
      </c>
      <c r="AC26" s="300"/>
      <c r="AD26" s="300"/>
      <c r="AE26" s="342">
        <f>SUM(L26:AD26)</f>
        <v>22953.9</v>
      </c>
      <c r="AF26" s="558"/>
      <c r="AG26" s="558"/>
      <c r="AH26" s="302"/>
      <c r="AI26" s="302"/>
      <c r="AJ26" s="300"/>
      <c r="AK26" s="329">
        <f>SUM(AF26:AJ26)</f>
        <v>0</v>
      </c>
      <c r="AL26" s="342">
        <f>SUM(AE26,AK26)</f>
        <v>22953.9</v>
      </c>
      <c r="AM26" s="298">
        <f>L26-'hoaki dram19'!G28</f>
        <v>0</v>
      </c>
      <c r="AN26" s="298">
        <f>N26-'hoaki dram19'!I28-C26</f>
        <v>0</v>
      </c>
      <c r="AO26" s="298">
        <f>O26-'hoaki dram19'!J28-D26</f>
        <v>0</v>
      </c>
      <c r="AP26" s="298">
        <f>P26-'hoaki dram19'!K28-E26</f>
        <v>0</v>
      </c>
      <c r="AQ26" s="298">
        <f>Q26-'hoaki dram19'!L28</f>
        <v>0</v>
      </c>
      <c r="AR26" s="298">
        <f>R26-'hoaki dram19'!M28</f>
        <v>0</v>
      </c>
      <c r="AS26" s="298">
        <f>S26-'hoaki dram19'!N28</f>
        <v>0</v>
      </c>
      <c r="AT26" s="298">
        <f>T26-'hoaki dram19'!O28</f>
        <v>0</v>
      </c>
      <c r="AU26" s="298">
        <f>U26-'hoaki dram19'!P28</f>
        <v>0</v>
      </c>
      <c r="AV26" s="298">
        <f>V26-'hoaki dram19'!Q28</f>
        <v>0</v>
      </c>
      <c r="AW26" s="298">
        <f>W26-'hoaki dram19'!R28</f>
        <v>0</v>
      </c>
      <c r="AX26" s="298">
        <f>X26-'hoaki dram19'!S28</f>
        <v>0</v>
      </c>
      <c r="AY26" s="298">
        <f>Y26-'hoaki dram19'!T28</f>
        <v>0</v>
      </c>
      <c r="AZ26" s="298">
        <f>Z26-'hoaki dram19'!U28</f>
        <v>0</v>
      </c>
      <c r="BA26" s="298">
        <f>AA26-'hoaki dram19'!V28</f>
        <v>0</v>
      </c>
      <c r="BB26" s="298">
        <f>AB26-'hoaki dram19'!W28</f>
        <v>0</v>
      </c>
      <c r="BC26" s="298">
        <f>AC26-'hoaki dram19'!X28</f>
        <v>0</v>
      </c>
      <c r="BD26" s="298">
        <f>AD26-'hoaki dram19'!Y28</f>
        <v>0</v>
      </c>
      <c r="BE26" s="329">
        <f>AM26+AN26+AO26+AP26+AQ26+AR26+AS26+AT26+AU26+AV26+AW26+AZ26++BB26+BC26+BD26+BA26+AX26+AY26</f>
        <v>0</v>
      </c>
      <c r="BF26" s="298">
        <f>AH26-'hoaki dram19'!AC28</f>
        <v>0</v>
      </c>
      <c r="BG26" s="298">
        <f>AI26-'hoaki dram19'!AD28</f>
        <v>0</v>
      </c>
      <c r="BH26" s="298">
        <f>AJ26-'hoaki dram19'!AE28</f>
        <v>0</v>
      </c>
      <c r="BI26" s="298">
        <f t="shared" si="13"/>
        <v>0</v>
      </c>
      <c r="BJ26" s="329">
        <f>BE26+BI26</f>
        <v>0</v>
      </c>
      <c r="BK26" s="298">
        <f>H26-'hoaki dram19'!C28</f>
        <v>0</v>
      </c>
      <c r="BL26" s="298">
        <f>I26-'hoaki dram19'!D28</f>
        <v>0</v>
      </c>
      <c r="BM26" s="298">
        <f>J26-'hoaki dram19'!E28-G26</f>
        <v>0</v>
      </c>
      <c r="BN26" s="329">
        <f t="shared" si="9"/>
        <v>0</v>
      </c>
    </row>
    <row r="27" spans="1:66" s="294" customFormat="1" ht="21.75" customHeight="1" thickBot="1">
      <c r="A27" s="313" t="s">
        <v>114</v>
      </c>
      <c r="B27" s="480"/>
      <c r="C27" s="304">
        <v>466.3</v>
      </c>
      <c r="D27" s="305"/>
      <c r="E27" s="305"/>
      <c r="F27" s="329">
        <f t="shared" si="3"/>
        <v>466.3</v>
      </c>
      <c r="G27" s="335">
        <f t="shared" si="4"/>
        <v>466.3</v>
      </c>
      <c r="H27" s="305"/>
      <c r="I27" s="305"/>
      <c r="J27" s="329">
        <f>AL27-H27-I27</f>
        <v>30498.100000000002</v>
      </c>
      <c r="K27" s="339">
        <f t="shared" si="5"/>
        <v>30498.100000000002</v>
      </c>
      <c r="L27" s="403">
        <v>4356</v>
      </c>
      <c r="M27" s="565">
        <v>528</v>
      </c>
      <c r="N27" s="298">
        <v>19283</v>
      </c>
      <c r="O27" s="298">
        <v>0</v>
      </c>
      <c r="P27" s="298">
        <v>85.4</v>
      </c>
      <c r="Q27" s="298">
        <v>19</v>
      </c>
      <c r="R27" s="298"/>
      <c r="S27" s="298"/>
      <c r="T27" s="300"/>
      <c r="U27" s="305"/>
      <c r="V27" s="307"/>
      <c r="W27" s="305"/>
      <c r="X27" s="305">
        <v>40</v>
      </c>
      <c r="Y27" s="307"/>
      <c r="Z27" s="305">
        <v>1598</v>
      </c>
      <c r="AA27" s="305"/>
      <c r="AB27" s="305">
        <v>4549.5</v>
      </c>
      <c r="AC27" s="305"/>
      <c r="AD27" s="305">
        <v>39.2</v>
      </c>
      <c r="AE27" s="343">
        <f>SUM(L27:AD27)</f>
        <v>30498.100000000002</v>
      </c>
      <c r="AF27" s="559"/>
      <c r="AG27" s="559"/>
      <c r="AH27" s="307"/>
      <c r="AI27" s="307"/>
      <c r="AJ27" s="305"/>
      <c r="AK27" s="329">
        <f>SUM(AF27:AJ27)</f>
        <v>0</v>
      </c>
      <c r="AL27" s="343">
        <f>SUM(AE27,AK27)</f>
        <v>30498.100000000002</v>
      </c>
      <c r="AM27" s="298">
        <f>L27-'hoaki dram19'!G29</f>
        <v>0</v>
      </c>
      <c r="AN27" s="298">
        <f>N27-'hoaki dram19'!I29-C27</f>
        <v>-443.8</v>
      </c>
      <c r="AO27" s="306">
        <f>O27-'hoaki dram19'!J29-D27</f>
        <v>0</v>
      </c>
      <c r="AP27" s="306">
        <f>P27-'hoaki dram19'!K29-E27</f>
        <v>0</v>
      </c>
      <c r="AQ27" s="306">
        <f>Q27-'hoaki dram19'!L29</f>
        <v>0</v>
      </c>
      <c r="AR27" s="306">
        <f>R27-'hoaki dram19'!M29</f>
        <v>0</v>
      </c>
      <c r="AS27" s="306">
        <f>S27-'hoaki dram19'!N29</f>
        <v>0</v>
      </c>
      <c r="AT27" s="306">
        <f>T27-'hoaki dram19'!O29</f>
        <v>0</v>
      </c>
      <c r="AU27" s="306">
        <f>U27-'hoaki dram19'!P29</f>
        <v>0</v>
      </c>
      <c r="AV27" s="306">
        <f>V27-'hoaki dram19'!Q29</f>
        <v>0</v>
      </c>
      <c r="AW27" s="306">
        <f>W27-'hoaki dram19'!R29</f>
        <v>0</v>
      </c>
      <c r="AX27" s="306">
        <f>X27-'hoaki dram19'!S29</f>
        <v>0</v>
      </c>
      <c r="AY27" s="306">
        <f>Y27-'hoaki dram19'!T29</f>
        <v>0</v>
      </c>
      <c r="AZ27" s="306">
        <f>Z27-'hoaki dram19'!U29</f>
        <v>0</v>
      </c>
      <c r="BA27" s="306">
        <f>AA27-'hoaki dram19'!V29</f>
        <v>0</v>
      </c>
      <c r="BB27" s="306">
        <f>AB27-'hoaki dram19'!W29</f>
        <v>0</v>
      </c>
      <c r="BC27" s="306">
        <f>AC27-'hoaki dram19'!X29</f>
        <v>0</v>
      </c>
      <c r="BD27" s="306">
        <f>AD27-'hoaki dram19'!Y29</f>
        <v>0</v>
      </c>
      <c r="BE27" s="329">
        <f>AM27+AN27+AO27+AP27+AQ27+AR27+AS27+AT27+AU27+AV27+AW27+AZ27++BB27+BC27+BD27+BA27+AX27+AY27</f>
        <v>-443.8</v>
      </c>
      <c r="BF27" s="306">
        <f>AH27-'hoaki dram19'!AC29</f>
        <v>0</v>
      </c>
      <c r="BG27" s="306">
        <f>AI27-'hoaki dram19'!AD29</f>
        <v>0</v>
      </c>
      <c r="BH27" s="306">
        <f>AJ27-'hoaki dram19'!AE29</f>
        <v>0</v>
      </c>
      <c r="BI27" s="298">
        <f t="shared" si="13"/>
        <v>0</v>
      </c>
      <c r="BJ27" s="330">
        <f>BE27+BI27</f>
        <v>-443.8</v>
      </c>
      <c r="BK27" s="298">
        <f>H27-'hoaki dram19'!C29</f>
        <v>0</v>
      </c>
      <c r="BL27" s="298">
        <f>I27-'hoaki dram19'!D29</f>
        <v>0</v>
      </c>
      <c r="BM27" s="298">
        <f>J27-'hoaki dram19'!E29-G27</f>
        <v>-443.7999999999964</v>
      </c>
      <c r="BN27" s="329">
        <f t="shared" si="9"/>
        <v>-443.7999999999964</v>
      </c>
    </row>
    <row r="28" spans="1:66" s="311" customFormat="1" ht="25.5" customHeight="1" thickBot="1">
      <c r="A28" s="308" t="s">
        <v>144</v>
      </c>
      <c r="B28" s="309">
        <f>B16+B22+B23+B24+B25+B26+B27</f>
        <v>38.800000000000004</v>
      </c>
      <c r="C28" s="309">
        <f>C16+C22+C23+C24+C25+C26+C27</f>
        <v>1918.4</v>
      </c>
      <c r="D28" s="309">
        <f aca="true" t="shared" si="15" ref="D28:BN28">D16+D22+D23+D24+D25+D26+D27</f>
        <v>35.8</v>
      </c>
      <c r="E28" s="309">
        <f t="shared" si="15"/>
        <v>0</v>
      </c>
      <c r="F28" s="309">
        <f t="shared" si="15"/>
        <v>1993</v>
      </c>
      <c r="G28" s="309">
        <f t="shared" si="15"/>
        <v>1993</v>
      </c>
      <c r="H28" s="309">
        <f t="shared" si="15"/>
        <v>130</v>
      </c>
      <c r="I28" s="309">
        <f t="shared" si="15"/>
        <v>3967.4</v>
      </c>
      <c r="J28" s="309">
        <f t="shared" si="15"/>
        <v>519844.3</v>
      </c>
      <c r="K28" s="309">
        <f t="shared" si="15"/>
        <v>523941.69999999995</v>
      </c>
      <c r="L28" s="309">
        <f t="shared" si="15"/>
        <v>384032.39999999997</v>
      </c>
      <c r="M28" s="309">
        <f t="shared" si="15"/>
        <v>528</v>
      </c>
      <c r="N28" s="309">
        <f t="shared" si="15"/>
        <v>44418.100000000006</v>
      </c>
      <c r="O28" s="309">
        <f t="shared" si="15"/>
        <v>3128.7999999999997</v>
      </c>
      <c r="P28" s="310">
        <f t="shared" si="15"/>
        <v>2152.2999999999997</v>
      </c>
      <c r="Q28" s="310">
        <f t="shared" si="15"/>
        <v>19</v>
      </c>
      <c r="R28" s="309">
        <f t="shared" si="15"/>
        <v>3090.2000000000003</v>
      </c>
      <c r="S28" s="309">
        <f t="shared" si="15"/>
        <v>57.3</v>
      </c>
      <c r="T28" s="309">
        <f t="shared" si="15"/>
        <v>25.2</v>
      </c>
      <c r="U28" s="309">
        <f t="shared" si="15"/>
        <v>3134.1000000000004</v>
      </c>
      <c r="V28" s="310">
        <f t="shared" si="15"/>
        <v>439.4</v>
      </c>
      <c r="W28" s="309">
        <f t="shared" si="15"/>
        <v>2173.1</v>
      </c>
      <c r="X28" s="309">
        <f t="shared" si="15"/>
        <v>2588.6</v>
      </c>
      <c r="Y28" s="310">
        <f t="shared" si="15"/>
        <v>100</v>
      </c>
      <c r="Z28" s="309">
        <f t="shared" si="15"/>
        <v>2097.9</v>
      </c>
      <c r="AA28" s="309">
        <f t="shared" si="15"/>
        <v>697</v>
      </c>
      <c r="AB28" s="309">
        <f t="shared" si="15"/>
        <v>71518.5</v>
      </c>
      <c r="AC28" s="309">
        <f t="shared" si="15"/>
        <v>801.6</v>
      </c>
      <c r="AD28" s="309">
        <f t="shared" si="15"/>
        <v>39.2</v>
      </c>
      <c r="AE28" s="309">
        <f t="shared" si="15"/>
        <v>521040.69999999995</v>
      </c>
      <c r="AF28" s="310">
        <f t="shared" si="15"/>
        <v>880</v>
      </c>
      <c r="AG28" s="310">
        <f t="shared" si="15"/>
        <v>145</v>
      </c>
      <c r="AH28" s="310">
        <f t="shared" si="15"/>
        <v>0</v>
      </c>
      <c r="AI28" s="310">
        <f t="shared" si="15"/>
        <v>1122</v>
      </c>
      <c r="AJ28" s="309">
        <f t="shared" si="15"/>
        <v>754</v>
      </c>
      <c r="AK28" s="309">
        <f t="shared" si="15"/>
        <v>2901</v>
      </c>
      <c r="AL28" s="309">
        <f t="shared" si="15"/>
        <v>523941.69999999995</v>
      </c>
      <c r="AM28" s="309">
        <f t="shared" si="15"/>
        <v>0</v>
      </c>
      <c r="AN28" s="309">
        <f t="shared" si="15"/>
        <v>-1585.1000000000004</v>
      </c>
      <c r="AO28" s="309">
        <f t="shared" si="15"/>
        <v>-60.099999999999994</v>
      </c>
      <c r="AP28" s="309">
        <f t="shared" si="15"/>
        <v>-1.3999999999999773</v>
      </c>
      <c r="AQ28" s="309">
        <f t="shared" si="15"/>
        <v>0</v>
      </c>
      <c r="AR28" s="309">
        <f t="shared" si="15"/>
        <v>0</v>
      </c>
      <c r="AS28" s="309">
        <f t="shared" si="15"/>
        <v>-0.6000000000000014</v>
      </c>
      <c r="AT28" s="309">
        <f t="shared" si="15"/>
        <v>0</v>
      </c>
      <c r="AU28" s="309">
        <f t="shared" si="15"/>
        <v>0</v>
      </c>
      <c r="AV28" s="309">
        <f t="shared" si="15"/>
        <v>0</v>
      </c>
      <c r="AW28" s="309">
        <f t="shared" si="15"/>
        <v>0</v>
      </c>
      <c r="AX28" s="309">
        <f t="shared" si="15"/>
        <v>0</v>
      </c>
      <c r="AY28" s="309">
        <f t="shared" si="15"/>
        <v>0</v>
      </c>
      <c r="AZ28" s="309">
        <f t="shared" si="15"/>
        <v>0</v>
      </c>
      <c r="BA28" s="309">
        <f t="shared" si="15"/>
        <v>0</v>
      </c>
      <c r="BB28" s="309">
        <f t="shared" si="15"/>
        <v>0</v>
      </c>
      <c r="BC28" s="309">
        <f t="shared" si="15"/>
        <v>0</v>
      </c>
      <c r="BD28" s="309">
        <f t="shared" si="15"/>
        <v>0</v>
      </c>
      <c r="BE28" s="309">
        <f t="shared" si="15"/>
        <v>-1647.2000000000003</v>
      </c>
      <c r="BF28" s="309">
        <f t="shared" si="15"/>
        <v>0</v>
      </c>
      <c r="BG28" s="309">
        <f t="shared" si="15"/>
        <v>0</v>
      </c>
      <c r="BH28" s="309">
        <f t="shared" si="15"/>
        <v>0</v>
      </c>
      <c r="BI28" s="309">
        <f t="shared" si="15"/>
        <v>0</v>
      </c>
      <c r="BJ28" s="309">
        <f t="shared" si="15"/>
        <v>-1647.2000000000003</v>
      </c>
      <c r="BK28" s="309">
        <f t="shared" si="15"/>
        <v>0</v>
      </c>
      <c r="BL28" s="309">
        <f t="shared" si="15"/>
        <v>0</v>
      </c>
      <c r="BM28" s="309">
        <f t="shared" si="15"/>
        <v>-1681.000000000009</v>
      </c>
      <c r="BN28" s="308">
        <f t="shared" si="15"/>
        <v>-1681.000000000009</v>
      </c>
    </row>
    <row r="29" spans="6:67" s="314" customFormat="1" ht="12.75">
      <c r="F29" s="331"/>
      <c r="G29" s="331"/>
      <c r="J29" s="331"/>
      <c r="K29" s="331"/>
      <c r="T29" s="315"/>
      <c r="V29" s="315"/>
      <c r="AE29" s="331"/>
      <c r="AF29" s="331"/>
      <c r="AG29" s="331"/>
      <c r="AK29" s="331"/>
      <c r="AL29" s="331"/>
      <c r="AV29" s="316"/>
      <c r="AW29" s="316"/>
      <c r="AX29" s="316"/>
      <c r="AY29" s="316"/>
      <c r="AZ29" s="316"/>
      <c r="BA29" s="316"/>
      <c r="BB29" s="316"/>
      <c r="BC29" s="316"/>
      <c r="BD29" s="316"/>
      <c r="BE29" s="345"/>
      <c r="BF29" s="316"/>
      <c r="BG29" s="316"/>
      <c r="BH29" s="316"/>
      <c r="BI29" s="316"/>
      <c r="BJ29" s="345"/>
      <c r="BK29" s="316"/>
      <c r="BL29" s="316"/>
      <c r="BN29" s="331"/>
      <c r="BO29" s="317"/>
    </row>
    <row r="30" spans="6:67" s="314" customFormat="1" ht="12.75">
      <c r="F30" s="331"/>
      <c r="G30" s="331"/>
      <c r="J30" s="331"/>
      <c r="K30" s="331"/>
      <c r="T30" s="315"/>
      <c r="V30" s="315"/>
      <c r="AE30" s="331"/>
      <c r="AF30" s="331"/>
      <c r="AG30" s="331"/>
      <c r="AK30" s="331"/>
      <c r="AL30" s="331"/>
      <c r="AV30" s="316"/>
      <c r="AW30" s="316"/>
      <c r="AX30" s="316"/>
      <c r="AY30" s="316"/>
      <c r="AZ30" s="316"/>
      <c r="BA30" s="316"/>
      <c r="BB30" s="316"/>
      <c r="BC30" s="316"/>
      <c r="BD30" s="316"/>
      <c r="BE30" s="345"/>
      <c r="BF30" s="316"/>
      <c r="BG30" s="316"/>
      <c r="BH30" s="316"/>
      <c r="BI30" s="316"/>
      <c r="BJ30" s="345"/>
      <c r="BK30" s="316"/>
      <c r="BL30" s="316"/>
      <c r="BN30" s="331"/>
      <c r="BO30" s="317"/>
    </row>
    <row r="31" spans="6:67" s="314" customFormat="1" ht="12.75">
      <c r="F31" s="331"/>
      <c r="G31" s="331"/>
      <c r="J31" s="331"/>
      <c r="K31" s="331"/>
      <c r="T31" s="315"/>
      <c r="V31" s="315"/>
      <c r="AE31" s="331"/>
      <c r="AF31" s="331"/>
      <c r="AG31" s="331"/>
      <c r="AK31" s="331"/>
      <c r="AL31" s="331"/>
      <c r="AV31" s="316"/>
      <c r="AW31" s="316"/>
      <c r="AX31" s="316"/>
      <c r="AY31" s="316"/>
      <c r="AZ31" s="316"/>
      <c r="BA31" s="316"/>
      <c r="BB31" s="316"/>
      <c r="BC31" s="316"/>
      <c r="BD31" s="316"/>
      <c r="BE31" s="345"/>
      <c r="BF31" s="316"/>
      <c r="BG31" s="316"/>
      <c r="BH31" s="316"/>
      <c r="BI31" s="316"/>
      <c r="BJ31" s="345"/>
      <c r="BK31" s="316"/>
      <c r="BL31" s="316"/>
      <c r="BN31" s="331"/>
      <c r="BO31" s="317"/>
    </row>
    <row r="32" spans="6:67" s="314" customFormat="1" ht="12.75">
      <c r="F32" s="331"/>
      <c r="G32" s="331"/>
      <c r="J32" s="331"/>
      <c r="K32" s="331"/>
      <c r="T32" s="315"/>
      <c r="V32" s="315"/>
      <c r="AE32" s="331"/>
      <c r="AF32" s="331"/>
      <c r="AG32" s="331"/>
      <c r="AK32" s="331"/>
      <c r="AL32" s="331"/>
      <c r="AV32" s="316"/>
      <c r="AW32" s="316"/>
      <c r="AX32" s="316"/>
      <c r="AY32" s="316"/>
      <c r="AZ32" s="316"/>
      <c r="BA32" s="316"/>
      <c r="BB32" s="316"/>
      <c r="BC32" s="316"/>
      <c r="BD32" s="316"/>
      <c r="BE32" s="345"/>
      <c r="BF32" s="316"/>
      <c r="BG32" s="316"/>
      <c r="BH32" s="316"/>
      <c r="BI32" s="316"/>
      <c r="BJ32" s="345"/>
      <c r="BK32" s="316"/>
      <c r="BL32" s="316"/>
      <c r="BN32" s="331"/>
      <c r="BO32" s="317"/>
    </row>
    <row r="33" spans="6:67" s="314" customFormat="1" ht="12.75">
      <c r="F33" s="331"/>
      <c r="G33" s="331"/>
      <c r="J33" s="331"/>
      <c r="K33" s="331"/>
      <c r="T33" s="315"/>
      <c r="V33" s="315"/>
      <c r="AE33" s="331"/>
      <c r="AF33" s="331"/>
      <c r="AG33" s="331"/>
      <c r="AK33" s="331"/>
      <c r="AL33" s="331"/>
      <c r="AV33" s="316"/>
      <c r="AW33" s="316"/>
      <c r="AX33" s="316"/>
      <c r="AY33" s="316"/>
      <c r="AZ33" s="316"/>
      <c r="BA33" s="316"/>
      <c r="BB33" s="316"/>
      <c r="BC33" s="316"/>
      <c r="BD33" s="316"/>
      <c r="BE33" s="345"/>
      <c r="BF33" s="316"/>
      <c r="BG33" s="316"/>
      <c r="BH33" s="316"/>
      <c r="BI33" s="316"/>
      <c r="BJ33" s="345"/>
      <c r="BK33" s="316"/>
      <c r="BL33" s="316"/>
      <c r="BN33" s="331"/>
      <c r="BO33" s="317"/>
    </row>
    <row r="34" spans="6:67" s="314" customFormat="1" ht="12.75">
      <c r="F34" s="331"/>
      <c r="G34" s="331"/>
      <c r="J34" s="331"/>
      <c r="K34" s="331"/>
      <c r="T34" s="315"/>
      <c r="V34" s="315"/>
      <c r="AE34" s="331"/>
      <c r="AF34" s="331"/>
      <c r="AG34" s="331"/>
      <c r="AK34" s="331"/>
      <c r="AL34" s="331"/>
      <c r="AV34" s="316"/>
      <c r="AW34" s="316"/>
      <c r="AX34" s="316"/>
      <c r="AY34" s="316"/>
      <c r="AZ34" s="316"/>
      <c r="BA34" s="316"/>
      <c r="BB34" s="316"/>
      <c r="BC34" s="316"/>
      <c r="BD34" s="316"/>
      <c r="BE34" s="345"/>
      <c r="BF34" s="316"/>
      <c r="BG34" s="316"/>
      <c r="BH34" s="316"/>
      <c r="BI34" s="316"/>
      <c r="BJ34" s="345"/>
      <c r="BK34" s="316"/>
      <c r="BL34" s="316"/>
      <c r="BN34" s="331"/>
      <c r="BO34" s="317"/>
    </row>
    <row r="35" spans="6:67" s="314" customFormat="1" ht="12.75">
      <c r="F35" s="331"/>
      <c r="G35" s="331"/>
      <c r="J35" s="331"/>
      <c r="K35" s="331"/>
      <c r="T35" s="315"/>
      <c r="V35" s="315"/>
      <c r="AE35" s="331"/>
      <c r="AF35" s="331"/>
      <c r="AG35" s="331"/>
      <c r="AK35" s="331"/>
      <c r="AL35" s="331"/>
      <c r="AV35" s="316"/>
      <c r="AW35" s="316"/>
      <c r="AX35" s="316"/>
      <c r="AY35" s="316"/>
      <c r="AZ35" s="316"/>
      <c r="BA35" s="316"/>
      <c r="BB35" s="316"/>
      <c r="BC35" s="316"/>
      <c r="BD35" s="316"/>
      <c r="BE35" s="345"/>
      <c r="BF35" s="316"/>
      <c r="BG35" s="316"/>
      <c r="BH35" s="316"/>
      <c r="BI35" s="316"/>
      <c r="BJ35" s="345"/>
      <c r="BK35" s="316"/>
      <c r="BL35" s="316"/>
      <c r="BN35" s="331"/>
      <c r="BO35" s="317"/>
    </row>
    <row r="36" spans="6:67" s="314" customFormat="1" ht="12.75">
      <c r="F36" s="331"/>
      <c r="G36" s="331"/>
      <c r="J36" s="331"/>
      <c r="K36" s="331"/>
      <c r="T36" s="315"/>
      <c r="V36" s="315"/>
      <c r="AE36" s="331"/>
      <c r="AF36" s="331"/>
      <c r="AG36" s="331"/>
      <c r="AK36" s="331"/>
      <c r="AL36" s="331"/>
      <c r="AV36" s="316"/>
      <c r="AW36" s="316"/>
      <c r="AX36" s="316"/>
      <c r="AY36" s="316"/>
      <c r="AZ36" s="316"/>
      <c r="BA36" s="316"/>
      <c r="BB36" s="316"/>
      <c r="BC36" s="316"/>
      <c r="BD36" s="316"/>
      <c r="BE36" s="345"/>
      <c r="BF36" s="316"/>
      <c r="BG36" s="316"/>
      <c r="BH36" s="316"/>
      <c r="BI36" s="316"/>
      <c r="BJ36" s="345"/>
      <c r="BK36" s="316"/>
      <c r="BL36" s="316"/>
      <c r="BN36" s="331"/>
      <c r="BO36" s="317"/>
    </row>
    <row r="37" spans="6:67" s="314" customFormat="1" ht="12.75">
      <c r="F37" s="331"/>
      <c r="G37" s="331"/>
      <c r="J37" s="331"/>
      <c r="K37" s="331"/>
      <c r="T37" s="315"/>
      <c r="V37" s="315"/>
      <c r="AE37" s="331"/>
      <c r="AF37" s="331"/>
      <c r="AG37" s="331"/>
      <c r="AK37" s="331"/>
      <c r="AL37" s="331"/>
      <c r="AV37" s="316"/>
      <c r="AW37" s="316"/>
      <c r="AX37" s="316"/>
      <c r="AY37" s="316"/>
      <c r="AZ37" s="316"/>
      <c r="BA37" s="316"/>
      <c r="BB37" s="316"/>
      <c r="BC37" s="316"/>
      <c r="BD37" s="316"/>
      <c r="BE37" s="345"/>
      <c r="BF37" s="316"/>
      <c r="BG37" s="316"/>
      <c r="BH37" s="316"/>
      <c r="BI37" s="316"/>
      <c r="BJ37" s="345"/>
      <c r="BK37" s="316"/>
      <c r="BL37" s="316"/>
      <c r="BN37" s="331"/>
      <c r="BO37" s="317"/>
    </row>
    <row r="38" spans="6:67" s="314" customFormat="1" ht="12.75">
      <c r="F38" s="331"/>
      <c r="G38" s="331"/>
      <c r="J38" s="331"/>
      <c r="K38" s="331"/>
      <c r="T38" s="315"/>
      <c r="V38" s="315"/>
      <c r="AE38" s="331"/>
      <c r="AF38" s="331"/>
      <c r="AG38" s="331"/>
      <c r="AK38" s="331"/>
      <c r="AL38" s="331"/>
      <c r="AV38" s="316"/>
      <c r="AW38" s="316"/>
      <c r="AX38" s="316"/>
      <c r="AY38" s="316"/>
      <c r="AZ38" s="316"/>
      <c r="BA38" s="316"/>
      <c r="BB38" s="316"/>
      <c r="BC38" s="316"/>
      <c r="BD38" s="316"/>
      <c r="BE38" s="345"/>
      <c r="BF38" s="316"/>
      <c r="BG38" s="316"/>
      <c r="BH38" s="316"/>
      <c r="BI38" s="316"/>
      <c r="BJ38" s="345"/>
      <c r="BK38" s="316"/>
      <c r="BL38" s="316"/>
      <c r="BN38" s="331"/>
      <c r="BO38" s="317"/>
    </row>
    <row r="39" spans="6:67" s="314" customFormat="1" ht="12.75">
      <c r="F39" s="331"/>
      <c r="G39" s="331"/>
      <c r="J39" s="331"/>
      <c r="K39" s="331"/>
      <c r="T39" s="315"/>
      <c r="V39" s="315"/>
      <c r="AE39" s="331"/>
      <c r="AF39" s="331"/>
      <c r="AG39" s="331"/>
      <c r="AK39" s="331"/>
      <c r="AL39" s="331"/>
      <c r="AV39" s="316"/>
      <c r="AW39" s="316"/>
      <c r="AX39" s="316"/>
      <c r="AY39" s="316"/>
      <c r="AZ39" s="316"/>
      <c r="BA39" s="316"/>
      <c r="BB39" s="316"/>
      <c r="BC39" s="316"/>
      <c r="BD39" s="316"/>
      <c r="BE39" s="345"/>
      <c r="BF39" s="316"/>
      <c r="BG39" s="316"/>
      <c r="BH39" s="316"/>
      <c r="BI39" s="316"/>
      <c r="BJ39" s="345"/>
      <c r="BK39" s="316"/>
      <c r="BL39" s="316"/>
      <c r="BN39" s="331"/>
      <c r="BO39" s="317"/>
    </row>
    <row r="40" spans="6:67" s="314" customFormat="1" ht="12.75">
      <c r="F40" s="331"/>
      <c r="G40" s="331"/>
      <c r="J40" s="331"/>
      <c r="K40" s="331"/>
      <c r="T40" s="315"/>
      <c r="V40" s="315"/>
      <c r="AE40" s="331"/>
      <c r="AF40" s="331"/>
      <c r="AG40" s="331"/>
      <c r="AK40" s="331"/>
      <c r="AL40" s="331"/>
      <c r="AV40" s="316"/>
      <c r="AW40" s="316"/>
      <c r="AX40" s="316"/>
      <c r="AY40" s="316"/>
      <c r="AZ40" s="316"/>
      <c r="BA40" s="316"/>
      <c r="BB40" s="316"/>
      <c r="BC40" s="316"/>
      <c r="BD40" s="316"/>
      <c r="BE40" s="345"/>
      <c r="BF40" s="316"/>
      <c r="BG40" s="316"/>
      <c r="BH40" s="316"/>
      <c r="BI40" s="316"/>
      <c r="BJ40" s="345"/>
      <c r="BK40" s="316"/>
      <c r="BL40" s="316"/>
      <c r="BN40" s="331"/>
      <c r="BO40" s="317"/>
    </row>
    <row r="41" spans="6:67" s="314" customFormat="1" ht="12.75">
      <c r="F41" s="331"/>
      <c r="G41" s="331"/>
      <c r="J41" s="331"/>
      <c r="K41" s="331"/>
      <c r="T41" s="315"/>
      <c r="V41" s="315"/>
      <c r="AE41" s="331"/>
      <c r="AF41" s="331"/>
      <c r="AG41" s="331"/>
      <c r="AK41" s="331"/>
      <c r="AL41" s="331"/>
      <c r="AV41" s="316"/>
      <c r="AW41" s="316"/>
      <c r="AX41" s="316"/>
      <c r="AY41" s="316"/>
      <c r="AZ41" s="316"/>
      <c r="BA41" s="316"/>
      <c r="BB41" s="316"/>
      <c r="BC41" s="316"/>
      <c r="BD41" s="316"/>
      <c r="BE41" s="345"/>
      <c r="BF41" s="316"/>
      <c r="BG41" s="316"/>
      <c r="BH41" s="316"/>
      <c r="BI41" s="316"/>
      <c r="BJ41" s="345"/>
      <c r="BK41" s="316"/>
      <c r="BL41" s="316"/>
      <c r="BN41" s="331"/>
      <c r="BO41" s="317"/>
    </row>
    <row r="42" spans="6:67" s="314" customFormat="1" ht="12.75">
      <c r="F42" s="331"/>
      <c r="G42" s="331"/>
      <c r="J42" s="331"/>
      <c r="K42" s="331"/>
      <c r="T42" s="315"/>
      <c r="V42" s="315"/>
      <c r="AE42" s="331"/>
      <c r="AF42" s="331"/>
      <c r="AG42" s="331"/>
      <c r="AK42" s="331"/>
      <c r="AL42" s="331"/>
      <c r="AV42" s="316"/>
      <c r="AW42" s="316"/>
      <c r="AX42" s="316"/>
      <c r="AY42" s="316"/>
      <c r="AZ42" s="316"/>
      <c r="BA42" s="316"/>
      <c r="BB42" s="316"/>
      <c r="BC42" s="316"/>
      <c r="BD42" s="316"/>
      <c r="BE42" s="345"/>
      <c r="BF42" s="316"/>
      <c r="BG42" s="316"/>
      <c r="BH42" s="316"/>
      <c r="BI42" s="316"/>
      <c r="BJ42" s="345"/>
      <c r="BK42" s="316"/>
      <c r="BL42" s="316"/>
      <c r="BN42" s="331"/>
      <c r="BO42" s="317"/>
    </row>
    <row r="43" spans="6:67" s="314" customFormat="1" ht="12.75">
      <c r="F43" s="331"/>
      <c r="G43" s="331"/>
      <c r="J43" s="331"/>
      <c r="K43" s="331"/>
      <c r="T43" s="315"/>
      <c r="V43" s="315"/>
      <c r="AE43" s="331"/>
      <c r="AF43" s="331"/>
      <c r="AG43" s="331"/>
      <c r="AK43" s="331"/>
      <c r="AL43" s="331"/>
      <c r="AV43" s="316"/>
      <c r="AW43" s="316"/>
      <c r="AX43" s="316"/>
      <c r="AY43" s="316"/>
      <c r="AZ43" s="316"/>
      <c r="BA43" s="316"/>
      <c r="BB43" s="316"/>
      <c r="BC43" s="316"/>
      <c r="BD43" s="316"/>
      <c r="BE43" s="345"/>
      <c r="BF43" s="316"/>
      <c r="BG43" s="316"/>
      <c r="BH43" s="316"/>
      <c r="BI43" s="316"/>
      <c r="BJ43" s="345"/>
      <c r="BK43" s="316"/>
      <c r="BL43" s="316"/>
      <c r="BN43" s="331"/>
      <c r="BO43" s="317"/>
    </row>
    <row r="44" spans="6:67" s="314" customFormat="1" ht="12.75">
      <c r="F44" s="331"/>
      <c r="G44" s="331"/>
      <c r="J44" s="331"/>
      <c r="K44" s="331"/>
      <c r="T44" s="315"/>
      <c r="V44" s="315"/>
      <c r="AE44" s="331"/>
      <c r="AF44" s="331"/>
      <c r="AG44" s="331"/>
      <c r="AK44" s="331"/>
      <c r="AL44" s="331"/>
      <c r="AV44" s="316"/>
      <c r="AW44" s="316"/>
      <c r="AX44" s="316"/>
      <c r="AY44" s="316"/>
      <c r="AZ44" s="316"/>
      <c r="BA44" s="316"/>
      <c r="BB44" s="316"/>
      <c r="BC44" s="316"/>
      <c r="BD44" s="316"/>
      <c r="BE44" s="345"/>
      <c r="BF44" s="316"/>
      <c r="BG44" s="316"/>
      <c r="BH44" s="316"/>
      <c r="BI44" s="316"/>
      <c r="BJ44" s="345"/>
      <c r="BK44" s="316"/>
      <c r="BL44" s="316"/>
      <c r="BN44" s="331"/>
      <c r="BO44" s="317"/>
    </row>
    <row r="45" spans="6:67" s="314" customFormat="1" ht="12.75">
      <c r="F45" s="331"/>
      <c r="G45" s="331"/>
      <c r="J45" s="331"/>
      <c r="K45" s="331"/>
      <c r="T45" s="315"/>
      <c r="V45" s="315"/>
      <c r="AE45" s="331"/>
      <c r="AF45" s="331"/>
      <c r="AG45" s="331"/>
      <c r="AK45" s="331"/>
      <c r="AL45" s="331"/>
      <c r="AV45" s="316"/>
      <c r="AW45" s="316"/>
      <c r="AX45" s="316"/>
      <c r="AY45" s="316"/>
      <c r="AZ45" s="316"/>
      <c r="BA45" s="316"/>
      <c r="BB45" s="316"/>
      <c r="BC45" s="316"/>
      <c r="BD45" s="316"/>
      <c r="BE45" s="345"/>
      <c r="BF45" s="316"/>
      <c r="BG45" s="316"/>
      <c r="BH45" s="316"/>
      <c r="BI45" s="316"/>
      <c r="BJ45" s="345"/>
      <c r="BK45" s="316"/>
      <c r="BL45" s="316"/>
      <c r="BN45" s="331"/>
      <c r="BO45" s="317"/>
    </row>
    <row r="46" spans="6:67" s="314" customFormat="1" ht="12.75">
      <c r="F46" s="331"/>
      <c r="G46" s="331"/>
      <c r="J46" s="331"/>
      <c r="K46" s="331"/>
      <c r="T46" s="315"/>
      <c r="V46" s="315"/>
      <c r="AE46" s="331"/>
      <c r="AF46" s="331"/>
      <c r="AG46" s="331"/>
      <c r="AK46" s="331"/>
      <c r="AL46" s="331"/>
      <c r="AV46" s="316"/>
      <c r="AW46" s="316"/>
      <c r="AX46" s="316"/>
      <c r="AY46" s="316"/>
      <c r="AZ46" s="316"/>
      <c r="BA46" s="316"/>
      <c r="BB46" s="316"/>
      <c r="BC46" s="316"/>
      <c r="BD46" s="316"/>
      <c r="BE46" s="345"/>
      <c r="BF46" s="316"/>
      <c r="BG46" s="316"/>
      <c r="BH46" s="316"/>
      <c r="BI46" s="316"/>
      <c r="BJ46" s="345"/>
      <c r="BK46" s="316"/>
      <c r="BL46" s="316"/>
      <c r="BN46" s="331"/>
      <c r="BO46" s="317"/>
    </row>
    <row r="47" spans="6:67" s="314" customFormat="1" ht="12.75">
      <c r="F47" s="331"/>
      <c r="G47" s="331"/>
      <c r="J47" s="331"/>
      <c r="K47" s="331"/>
      <c r="T47" s="315"/>
      <c r="V47" s="315"/>
      <c r="AE47" s="331"/>
      <c r="AF47" s="331"/>
      <c r="AG47" s="331"/>
      <c r="AK47" s="331"/>
      <c r="AL47" s="331"/>
      <c r="AV47" s="316"/>
      <c r="AW47" s="316"/>
      <c r="AX47" s="316"/>
      <c r="AY47" s="316"/>
      <c r="AZ47" s="316"/>
      <c r="BA47" s="316"/>
      <c r="BB47" s="316"/>
      <c r="BC47" s="316"/>
      <c r="BD47" s="316"/>
      <c r="BE47" s="345"/>
      <c r="BF47" s="316"/>
      <c r="BG47" s="316"/>
      <c r="BH47" s="316"/>
      <c r="BI47" s="316"/>
      <c r="BJ47" s="345"/>
      <c r="BK47" s="316"/>
      <c r="BL47" s="316"/>
      <c r="BN47" s="331"/>
      <c r="BO47" s="317"/>
    </row>
    <row r="48" spans="6:67" s="314" customFormat="1" ht="12.75">
      <c r="F48" s="331"/>
      <c r="G48" s="331"/>
      <c r="J48" s="331"/>
      <c r="K48" s="331"/>
      <c r="T48" s="315"/>
      <c r="V48" s="315"/>
      <c r="AE48" s="331"/>
      <c r="AF48" s="331"/>
      <c r="AG48" s="331"/>
      <c r="AK48" s="331"/>
      <c r="AL48" s="331"/>
      <c r="AV48" s="316"/>
      <c r="AW48" s="316"/>
      <c r="AX48" s="316"/>
      <c r="AY48" s="316"/>
      <c r="AZ48" s="316"/>
      <c r="BA48" s="316"/>
      <c r="BB48" s="316"/>
      <c r="BC48" s="316"/>
      <c r="BD48" s="316"/>
      <c r="BE48" s="345"/>
      <c r="BF48" s="316"/>
      <c r="BG48" s="316"/>
      <c r="BH48" s="316"/>
      <c r="BI48" s="316"/>
      <c r="BJ48" s="345"/>
      <c r="BK48" s="316"/>
      <c r="BL48" s="316"/>
      <c r="BN48" s="331"/>
      <c r="BO48" s="317"/>
    </row>
    <row r="49" spans="6:67" s="314" customFormat="1" ht="12.75">
      <c r="F49" s="331"/>
      <c r="G49" s="331"/>
      <c r="J49" s="331"/>
      <c r="K49" s="331"/>
      <c r="T49" s="315"/>
      <c r="V49" s="315"/>
      <c r="AE49" s="331"/>
      <c r="AF49" s="331"/>
      <c r="AG49" s="331"/>
      <c r="AK49" s="331"/>
      <c r="AL49" s="331"/>
      <c r="AV49" s="316"/>
      <c r="AW49" s="316"/>
      <c r="AX49" s="316"/>
      <c r="AY49" s="316"/>
      <c r="AZ49" s="316"/>
      <c r="BA49" s="316"/>
      <c r="BB49" s="316"/>
      <c r="BC49" s="316"/>
      <c r="BD49" s="316"/>
      <c r="BE49" s="345"/>
      <c r="BF49" s="316"/>
      <c r="BG49" s="316"/>
      <c r="BH49" s="316"/>
      <c r="BI49" s="316"/>
      <c r="BJ49" s="345"/>
      <c r="BK49" s="316"/>
      <c r="BL49" s="316"/>
      <c r="BN49" s="331"/>
      <c r="BO49" s="317"/>
    </row>
    <row r="50" spans="6:67" s="314" customFormat="1" ht="12.75">
      <c r="F50" s="331"/>
      <c r="G50" s="331"/>
      <c r="J50" s="331"/>
      <c r="K50" s="331"/>
      <c r="T50" s="315"/>
      <c r="V50" s="315"/>
      <c r="AE50" s="331"/>
      <c r="AF50" s="331"/>
      <c r="AG50" s="331"/>
      <c r="AK50" s="331"/>
      <c r="AL50" s="331"/>
      <c r="AV50" s="316"/>
      <c r="AW50" s="316"/>
      <c r="AX50" s="316"/>
      <c r="AY50" s="316"/>
      <c r="AZ50" s="316"/>
      <c r="BA50" s="316"/>
      <c r="BB50" s="316"/>
      <c r="BC50" s="316"/>
      <c r="BD50" s="316"/>
      <c r="BE50" s="345"/>
      <c r="BF50" s="316"/>
      <c r="BG50" s="316"/>
      <c r="BH50" s="316"/>
      <c r="BI50" s="316"/>
      <c r="BJ50" s="345"/>
      <c r="BK50" s="316"/>
      <c r="BL50" s="316"/>
      <c r="BN50" s="331"/>
      <c r="BO50" s="317"/>
    </row>
    <row r="51" spans="6:67" s="314" customFormat="1" ht="12.75">
      <c r="F51" s="331"/>
      <c r="G51" s="331"/>
      <c r="J51" s="331"/>
      <c r="K51" s="331"/>
      <c r="T51" s="315"/>
      <c r="V51" s="315"/>
      <c r="AE51" s="331"/>
      <c r="AF51" s="331"/>
      <c r="AG51" s="331"/>
      <c r="AK51" s="331"/>
      <c r="AL51" s="331"/>
      <c r="AV51" s="316"/>
      <c r="AW51" s="316"/>
      <c r="AX51" s="316"/>
      <c r="AY51" s="316"/>
      <c r="AZ51" s="316"/>
      <c r="BA51" s="316"/>
      <c r="BB51" s="316"/>
      <c r="BC51" s="316"/>
      <c r="BD51" s="316"/>
      <c r="BE51" s="345"/>
      <c r="BF51" s="316"/>
      <c r="BG51" s="316"/>
      <c r="BH51" s="316"/>
      <c r="BI51" s="316"/>
      <c r="BJ51" s="345"/>
      <c r="BK51" s="316"/>
      <c r="BL51" s="316"/>
      <c r="BN51" s="331"/>
      <c r="BO51" s="317"/>
    </row>
    <row r="52" spans="6:67" s="319" customFormat="1" ht="12.75">
      <c r="F52" s="332"/>
      <c r="G52" s="332"/>
      <c r="J52" s="332"/>
      <c r="K52" s="332"/>
      <c r="T52" s="318"/>
      <c r="V52" s="318"/>
      <c r="AE52" s="332"/>
      <c r="AF52" s="332"/>
      <c r="AG52" s="332"/>
      <c r="AK52" s="332"/>
      <c r="AL52" s="332"/>
      <c r="AV52" s="320"/>
      <c r="AW52" s="320"/>
      <c r="AX52" s="320"/>
      <c r="AY52" s="320"/>
      <c r="AZ52" s="320"/>
      <c r="BA52" s="320"/>
      <c r="BB52" s="320"/>
      <c r="BC52" s="320"/>
      <c r="BD52" s="320"/>
      <c r="BE52" s="346"/>
      <c r="BF52" s="320"/>
      <c r="BG52" s="320"/>
      <c r="BH52" s="320"/>
      <c r="BI52" s="320"/>
      <c r="BJ52" s="346"/>
      <c r="BK52" s="320"/>
      <c r="BL52" s="320"/>
      <c r="BN52" s="332"/>
      <c r="BO52" s="321"/>
    </row>
    <row r="53" spans="6:67" s="319" customFormat="1" ht="12.75">
      <c r="F53" s="332"/>
      <c r="G53" s="332"/>
      <c r="J53" s="332"/>
      <c r="K53" s="332"/>
      <c r="T53" s="318"/>
      <c r="V53" s="318"/>
      <c r="AE53" s="332"/>
      <c r="AF53" s="332"/>
      <c r="AG53" s="332"/>
      <c r="AK53" s="332"/>
      <c r="AL53" s="332"/>
      <c r="AV53" s="320"/>
      <c r="AW53" s="320"/>
      <c r="AX53" s="320"/>
      <c r="AY53" s="320"/>
      <c r="AZ53" s="320"/>
      <c r="BA53" s="320"/>
      <c r="BB53" s="320"/>
      <c r="BC53" s="320"/>
      <c r="BD53" s="320"/>
      <c r="BE53" s="346"/>
      <c r="BF53" s="320"/>
      <c r="BG53" s="320"/>
      <c r="BH53" s="320"/>
      <c r="BI53" s="320"/>
      <c r="BJ53" s="346"/>
      <c r="BK53" s="320"/>
      <c r="BL53" s="320"/>
      <c r="BN53" s="332"/>
      <c r="BO53" s="321"/>
    </row>
    <row r="54" spans="6:67" s="319" customFormat="1" ht="12.75">
      <c r="F54" s="332"/>
      <c r="G54" s="332"/>
      <c r="J54" s="332"/>
      <c r="K54" s="332"/>
      <c r="T54" s="318"/>
      <c r="V54" s="318"/>
      <c r="AE54" s="332"/>
      <c r="AF54" s="332"/>
      <c r="AG54" s="332"/>
      <c r="AK54" s="332"/>
      <c r="AL54" s="332"/>
      <c r="AV54" s="320"/>
      <c r="AW54" s="320"/>
      <c r="AX54" s="320"/>
      <c r="AY54" s="320"/>
      <c r="AZ54" s="320"/>
      <c r="BA54" s="320"/>
      <c r="BB54" s="320"/>
      <c r="BC54" s="320"/>
      <c r="BD54" s="320"/>
      <c r="BE54" s="346"/>
      <c r="BF54" s="320"/>
      <c r="BG54" s="320"/>
      <c r="BH54" s="320"/>
      <c r="BI54" s="320"/>
      <c r="BJ54" s="346"/>
      <c r="BK54" s="320"/>
      <c r="BL54" s="320"/>
      <c r="BN54" s="332"/>
      <c r="BO54" s="321"/>
    </row>
    <row r="55" spans="6:67" s="319" customFormat="1" ht="12.75">
      <c r="F55" s="332"/>
      <c r="G55" s="332"/>
      <c r="J55" s="332"/>
      <c r="K55" s="332"/>
      <c r="T55" s="318"/>
      <c r="V55" s="318"/>
      <c r="AE55" s="332"/>
      <c r="AF55" s="332"/>
      <c r="AG55" s="332"/>
      <c r="AK55" s="332"/>
      <c r="AL55" s="332"/>
      <c r="AV55" s="320"/>
      <c r="AW55" s="320"/>
      <c r="AX55" s="320"/>
      <c r="AY55" s="320"/>
      <c r="AZ55" s="320"/>
      <c r="BA55" s="320"/>
      <c r="BB55" s="320"/>
      <c r="BC55" s="320"/>
      <c r="BD55" s="320"/>
      <c r="BE55" s="346"/>
      <c r="BF55" s="320"/>
      <c r="BG55" s="320"/>
      <c r="BH55" s="320"/>
      <c r="BI55" s="320"/>
      <c r="BJ55" s="346"/>
      <c r="BK55" s="320"/>
      <c r="BL55" s="320"/>
      <c r="BN55" s="332"/>
      <c r="BO55" s="321"/>
    </row>
    <row r="56" spans="6:67" s="319" customFormat="1" ht="12.75">
      <c r="F56" s="332"/>
      <c r="G56" s="332"/>
      <c r="J56" s="332"/>
      <c r="K56" s="332"/>
      <c r="T56" s="318"/>
      <c r="V56" s="318"/>
      <c r="AE56" s="332"/>
      <c r="AF56" s="332"/>
      <c r="AG56" s="332"/>
      <c r="AK56" s="332"/>
      <c r="AL56" s="332"/>
      <c r="AV56" s="320"/>
      <c r="AW56" s="320"/>
      <c r="AX56" s="320"/>
      <c r="AY56" s="320"/>
      <c r="AZ56" s="320"/>
      <c r="BA56" s="320"/>
      <c r="BB56" s="320"/>
      <c r="BC56" s="320"/>
      <c r="BD56" s="320"/>
      <c r="BE56" s="346"/>
      <c r="BF56" s="320"/>
      <c r="BG56" s="320"/>
      <c r="BH56" s="320"/>
      <c r="BI56" s="320"/>
      <c r="BJ56" s="346"/>
      <c r="BK56" s="320"/>
      <c r="BL56" s="320"/>
      <c r="BN56" s="332"/>
      <c r="BO56" s="321"/>
    </row>
    <row r="57" spans="6:67" s="319" customFormat="1" ht="12.75">
      <c r="F57" s="332"/>
      <c r="G57" s="332"/>
      <c r="J57" s="332"/>
      <c r="K57" s="332"/>
      <c r="T57" s="318"/>
      <c r="V57" s="318"/>
      <c r="AE57" s="332"/>
      <c r="AF57" s="332"/>
      <c r="AG57" s="332"/>
      <c r="AK57" s="332"/>
      <c r="AL57" s="332"/>
      <c r="AV57" s="320"/>
      <c r="AW57" s="320"/>
      <c r="AX57" s="320"/>
      <c r="AY57" s="320"/>
      <c r="AZ57" s="320"/>
      <c r="BA57" s="320"/>
      <c r="BB57" s="320"/>
      <c r="BC57" s="320"/>
      <c r="BD57" s="320"/>
      <c r="BE57" s="346"/>
      <c r="BF57" s="320"/>
      <c r="BG57" s="320"/>
      <c r="BH57" s="320"/>
      <c r="BI57" s="320"/>
      <c r="BJ57" s="346"/>
      <c r="BK57" s="320"/>
      <c r="BL57" s="320"/>
      <c r="BN57" s="332"/>
      <c r="BO57" s="321"/>
    </row>
    <row r="58" spans="6:67" s="319" customFormat="1" ht="12.75">
      <c r="F58" s="332"/>
      <c r="G58" s="332"/>
      <c r="J58" s="332"/>
      <c r="K58" s="332"/>
      <c r="T58" s="318"/>
      <c r="V58" s="318"/>
      <c r="AE58" s="332"/>
      <c r="AF58" s="332"/>
      <c r="AG58" s="332"/>
      <c r="AK58" s="332"/>
      <c r="AL58" s="332"/>
      <c r="AV58" s="320"/>
      <c r="AW58" s="320"/>
      <c r="AX58" s="320"/>
      <c r="AY58" s="320"/>
      <c r="AZ58" s="320"/>
      <c r="BA58" s="320"/>
      <c r="BB58" s="320"/>
      <c r="BC58" s="320"/>
      <c r="BD58" s="320"/>
      <c r="BE58" s="346"/>
      <c r="BF58" s="320"/>
      <c r="BG58" s="320"/>
      <c r="BH58" s="320"/>
      <c r="BI58" s="320"/>
      <c r="BJ58" s="346"/>
      <c r="BK58" s="320"/>
      <c r="BL58" s="320"/>
      <c r="BN58" s="332"/>
      <c r="BO58" s="321"/>
    </row>
    <row r="59" spans="6:67" s="319" customFormat="1" ht="12.75">
      <c r="F59" s="332"/>
      <c r="G59" s="332"/>
      <c r="J59" s="332"/>
      <c r="K59" s="332"/>
      <c r="T59" s="318"/>
      <c r="V59" s="318"/>
      <c r="AE59" s="332"/>
      <c r="AF59" s="332"/>
      <c r="AG59" s="332"/>
      <c r="AK59" s="332"/>
      <c r="AL59" s="332"/>
      <c r="AV59" s="320"/>
      <c r="AW59" s="320"/>
      <c r="AX59" s="320"/>
      <c r="AY59" s="320"/>
      <c r="AZ59" s="320"/>
      <c r="BA59" s="320"/>
      <c r="BB59" s="320"/>
      <c r="BC59" s="320"/>
      <c r="BD59" s="320"/>
      <c r="BE59" s="346"/>
      <c r="BF59" s="320"/>
      <c r="BG59" s="320"/>
      <c r="BH59" s="320"/>
      <c r="BI59" s="320"/>
      <c r="BJ59" s="346"/>
      <c r="BK59" s="320"/>
      <c r="BL59" s="320"/>
      <c r="BN59" s="332"/>
      <c r="BO59" s="321"/>
    </row>
    <row r="60" spans="6:67" s="319" customFormat="1" ht="12.75">
      <c r="F60" s="332"/>
      <c r="G60" s="332"/>
      <c r="J60" s="332"/>
      <c r="K60" s="332"/>
      <c r="T60" s="318"/>
      <c r="V60" s="318"/>
      <c r="AE60" s="332"/>
      <c r="AF60" s="332"/>
      <c r="AG60" s="332"/>
      <c r="AK60" s="332"/>
      <c r="AL60" s="332"/>
      <c r="AV60" s="320"/>
      <c r="AW60" s="320"/>
      <c r="AX60" s="320"/>
      <c r="AY60" s="320"/>
      <c r="AZ60" s="320"/>
      <c r="BA60" s="320"/>
      <c r="BB60" s="320"/>
      <c r="BC60" s="320"/>
      <c r="BD60" s="320"/>
      <c r="BE60" s="346"/>
      <c r="BF60" s="320"/>
      <c r="BG60" s="320"/>
      <c r="BH60" s="320"/>
      <c r="BI60" s="320"/>
      <c r="BJ60" s="346"/>
      <c r="BK60" s="320"/>
      <c r="BL60" s="320"/>
      <c r="BN60" s="332"/>
      <c r="BO60" s="321"/>
    </row>
    <row r="61" spans="6:67" s="319" customFormat="1" ht="12.75">
      <c r="F61" s="332"/>
      <c r="G61" s="332"/>
      <c r="J61" s="332"/>
      <c r="K61" s="332"/>
      <c r="T61" s="318"/>
      <c r="V61" s="318"/>
      <c r="AE61" s="332"/>
      <c r="AF61" s="332"/>
      <c r="AG61" s="332"/>
      <c r="AK61" s="332"/>
      <c r="AL61" s="332"/>
      <c r="AV61" s="320"/>
      <c r="AW61" s="320"/>
      <c r="AX61" s="320"/>
      <c r="AY61" s="320"/>
      <c r="AZ61" s="320"/>
      <c r="BA61" s="320"/>
      <c r="BB61" s="320"/>
      <c r="BC61" s="320"/>
      <c r="BD61" s="320"/>
      <c r="BE61" s="346"/>
      <c r="BF61" s="320"/>
      <c r="BG61" s="320"/>
      <c r="BH61" s="320"/>
      <c r="BI61" s="320"/>
      <c r="BJ61" s="346"/>
      <c r="BK61" s="320"/>
      <c r="BL61" s="320"/>
      <c r="BN61" s="332"/>
      <c r="BO61" s="321"/>
    </row>
  </sheetData>
  <sheetProtection/>
  <mergeCells count="6">
    <mergeCell ref="AM2:BN2"/>
    <mergeCell ref="A2:A3"/>
    <mergeCell ref="H2:K2"/>
    <mergeCell ref="L2:AL2"/>
    <mergeCell ref="A1:BN1"/>
    <mergeCell ref="B2:B3"/>
  </mergeCells>
  <printOptions/>
  <pageMargins left="0.15748031496062992" right="0.15748031496062992" top="0.15748031496062992" bottom="0.11811023622047245" header="0.15748031496062992" footer="0.118110236220472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1"/>
  <sheetViews>
    <sheetView view="pageBreakPreview" zoomScaleSheetLayoutView="100" workbookViewId="0" topLeftCell="A1">
      <selection activeCell="R10" sqref="R10"/>
    </sheetView>
  </sheetViews>
  <sheetFormatPr defaultColWidth="9.140625" defaultRowHeight="12.75"/>
  <cols>
    <col min="1" max="2" width="9.140625" style="1" customWidth="1"/>
    <col min="3" max="3" width="14.8515625" style="1" customWidth="1"/>
    <col min="4" max="4" width="0" style="1" hidden="1" customWidth="1"/>
    <col min="5" max="5" width="8.8515625" style="1" customWidth="1"/>
    <col min="6" max="6" width="7.7109375" style="1" hidden="1" customWidth="1"/>
    <col min="7" max="7" width="10.7109375" style="1" hidden="1" customWidth="1"/>
    <col min="8" max="8" width="10.28125" style="1" hidden="1" customWidth="1"/>
    <col min="9" max="9" width="10.28125" style="1" customWidth="1"/>
    <col min="10" max="10" width="14.57421875" style="10" customWidth="1"/>
    <col min="11" max="11" width="11.7109375" style="1" customWidth="1"/>
    <col min="12" max="12" width="12.140625" style="1" customWidth="1"/>
    <col min="13" max="13" width="10.8515625" style="1" customWidth="1"/>
    <col min="14" max="16384" width="9.140625" style="1" customWidth="1"/>
  </cols>
  <sheetData>
    <row r="1" spans="1:12" ht="15.75" customHeight="1">
      <c r="A1" s="602" t="s">
        <v>22</v>
      </c>
      <c r="B1" s="602"/>
      <c r="C1" s="602"/>
      <c r="D1" s="602"/>
      <c r="E1" s="602"/>
      <c r="F1" s="602"/>
      <c r="G1" s="602"/>
      <c r="H1" s="602"/>
      <c r="I1" s="602"/>
      <c r="J1" s="602"/>
      <c r="K1" s="602"/>
      <c r="L1" s="602"/>
    </row>
    <row r="2" spans="4:6" ht="6" customHeight="1">
      <c r="D2" s="29"/>
      <c r="E2" s="29"/>
      <c r="F2" s="29"/>
    </row>
    <row r="3" spans="1:12" ht="30" customHeight="1">
      <c r="A3" s="603" t="s">
        <v>231</v>
      </c>
      <c r="B3" s="603"/>
      <c r="C3" s="603"/>
      <c r="D3" s="603"/>
      <c r="E3" s="603"/>
      <c r="F3" s="603"/>
      <c r="G3" s="603"/>
      <c r="H3" s="603"/>
      <c r="I3" s="603"/>
      <c r="J3" s="603"/>
      <c r="K3" s="603"/>
      <c r="L3" s="603"/>
    </row>
    <row r="4" spans="1:12" ht="9.75" customHeight="1" thickBot="1">
      <c r="A4" s="571"/>
      <c r="B4" s="571"/>
      <c r="C4" s="571"/>
      <c r="D4" s="571"/>
      <c r="E4" s="571"/>
      <c r="F4" s="571"/>
      <c r="G4" s="571"/>
      <c r="H4" s="571"/>
      <c r="I4" s="571"/>
      <c r="J4" s="571"/>
      <c r="K4" s="571"/>
      <c r="L4" s="571"/>
    </row>
    <row r="5" spans="1:13" ht="15" customHeight="1" thickBot="1">
      <c r="A5" s="604" t="s">
        <v>23</v>
      </c>
      <c r="B5" s="605"/>
      <c r="C5" s="606"/>
      <c r="D5" s="610" t="s">
        <v>24</v>
      </c>
      <c r="E5" s="594" t="s">
        <v>168</v>
      </c>
      <c r="F5" s="612" t="s">
        <v>92</v>
      </c>
      <c r="G5" s="614" t="s">
        <v>25</v>
      </c>
      <c r="H5" s="616" t="s">
        <v>48</v>
      </c>
      <c r="I5" s="616" t="s">
        <v>227</v>
      </c>
      <c r="J5" s="618" t="s">
        <v>250</v>
      </c>
      <c r="K5" s="619"/>
      <c r="L5" s="592" t="s">
        <v>242</v>
      </c>
      <c r="M5" s="590" t="s">
        <v>167</v>
      </c>
    </row>
    <row r="6" spans="1:13" ht="46.5" customHeight="1" thickBot="1">
      <c r="A6" s="607"/>
      <c r="B6" s="608"/>
      <c r="C6" s="609"/>
      <c r="D6" s="611"/>
      <c r="E6" s="595"/>
      <c r="F6" s="613"/>
      <c r="G6" s="615"/>
      <c r="H6" s="617"/>
      <c r="I6" s="617"/>
      <c r="J6" s="30" t="s">
        <v>173</v>
      </c>
      <c r="K6" s="31" t="s">
        <v>96</v>
      </c>
      <c r="L6" s="593"/>
      <c r="M6" s="591"/>
    </row>
    <row r="7" spans="1:13" ht="24" customHeight="1" thickBot="1">
      <c r="A7" s="596" t="s">
        <v>20</v>
      </c>
      <c r="B7" s="597"/>
      <c r="C7" s="598"/>
      <c r="D7" s="32"/>
      <c r="E7" s="142"/>
      <c r="F7" s="143"/>
      <c r="G7" s="138"/>
      <c r="H7" s="138"/>
      <c r="I7" s="144">
        <f>(I8+I10)</f>
        <v>1993</v>
      </c>
      <c r="J7" s="145">
        <f>SUM(J8:J10)</f>
        <v>523629.69999999995</v>
      </c>
      <c r="K7" s="145">
        <f>SUM(K8:K10)</f>
        <v>523941.7</v>
      </c>
      <c r="L7" s="146">
        <f>SUM(L8:L10)</f>
        <v>-1680.9999999999418</v>
      </c>
      <c r="M7" s="148"/>
    </row>
    <row r="8" spans="1:13" ht="24" customHeight="1" thickBot="1">
      <c r="A8" s="635" t="s">
        <v>84</v>
      </c>
      <c r="B8" s="636"/>
      <c r="C8" s="637"/>
      <c r="D8" s="33"/>
      <c r="E8" s="34"/>
      <c r="F8" s="35"/>
      <c r="G8" s="36"/>
      <c r="H8" s="36"/>
      <c r="I8" s="37">
        <v>0</v>
      </c>
      <c r="J8" s="36">
        <f>'hoaki dram19'!D30</f>
        <v>3967.4</v>
      </c>
      <c r="K8" s="36">
        <f>'hoaki past19'!I28</f>
        <v>3967.4</v>
      </c>
      <c r="L8" s="139">
        <f>SUM(K8-J8-I8)</f>
        <v>0</v>
      </c>
      <c r="M8" s="141"/>
    </row>
    <row r="9" spans="1:13" ht="24" customHeight="1" thickBot="1">
      <c r="A9" s="568"/>
      <c r="B9" s="569"/>
      <c r="C9" s="570"/>
      <c r="D9" s="33"/>
      <c r="E9" s="34"/>
      <c r="F9" s="35"/>
      <c r="G9" s="36"/>
      <c r="H9" s="36"/>
      <c r="I9" s="37"/>
      <c r="J9" s="36">
        <f>'hoaki dram19'!C30</f>
        <v>130</v>
      </c>
      <c r="K9" s="38">
        <f>'hoaki past19'!H28</f>
        <v>130</v>
      </c>
      <c r="L9" s="139">
        <f>SUM(K9-J9-I9)</f>
        <v>0</v>
      </c>
      <c r="M9" s="151"/>
    </row>
    <row r="10" spans="1:13" ht="24" customHeight="1" thickBot="1">
      <c r="A10" s="635" t="s">
        <v>85</v>
      </c>
      <c r="B10" s="636"/>
      <c r="C10" s="637"/>
      <c r="D10" s="33"/>
      <c r="E10" s="34"/>
      <c r="F10" s="35"/>
      <c r="G10" s="36"/>
      <c r="H10" s="36"/>
      <c r="I10" s="37">
        <f>'hoaki past19'!G28</f>
        <v>1993</v>
      </c>
      <c r="J10" s="36">
        <f>'hoaki dram19'!E30</f>
        <v>519532.29999999993</v>
      </c>
      <c r="K10" s="38">
        <f>'hoaki past19'!J28</f>
        <v>519844.3</v>
      </c>
      <c r="L10" s="139">
        <f>SUM(K10-J10-I10)</f>
        <v>-1680.9999999999418</v>
      </c>
      <c r="M10" s="149"/>
    </row>
    <row r="11" spans="1:13" ht="24" customHeight="1" thickBot="1">
      <c r="A11" s="599" t="s">
        <v>20</v>
      </c>
      <c r="B11" s="600"/>
      <c r="C11" s="601"/>
      <c r="D11" s="39"/>
      <c r="E11" s="40"/>
      <c r="F11" s="41" t="s">
        <v>93</v>
      </c>
      <c r="G11" s="42" t="e">
        <f>SUM(G12,G32,-#REF!)</f>
        <v>#REF!</v>
      </c>
      <c r="H11" s="42" t="e">
        <f>SUM(H12,H32,-#REF!)</f>
        <v>#REF!</v>
      </c>
      <c r="I11" s="43">
        <f>(I12+I32)</f>
        <v>1954.2</v>
      </c>
      <c r="J11" s="42">
        <f>SUM(J12+J32)</f>
        <v>523634.69999999995</v>
      </c>
      <c r="K11" s="42">
        <f>SUM(K12+K32)</f>
        <v>523941.69999999995</v>
      </c>
      <c r="L11" s="43">
        <f>(L12+L32)</f>
        <v>-1647.1999999999982</v>
      </c>
      <c r="M11" s="150"/>
    </row>
    <row r="12" spans="1:13" ht="19.5" customHeight="1" thickBot="1">
      <c r="A12" s="638" t="s">
        <v>26</v>
      </c>
      <c r="B12" s="639"/>
      <c r="C12" s="640"/>
      <c r="D12" s="39"/>
      <c r="E12" s="40"/>
      <c r="F12" s="44"/>
      <c r="G12" s="45">
        <f>SUM(G13:G31)</f>
        <v>428673.99999999994</v>
      </c>
      <c r="H12" s="45">
        <f>SUM(H13:H31)</f>
        <v>428673.99999999994</v>
      </c>
      <c r="I12" s="45">
        <f>I13+I15+I16+I17+I18+I19+I20+I21+I22+I23+I24+I25+I26+I27+I28+I29+I30+I31</f>
        <v>1954.2</v>
      </c>
      <c r="J12" s="45">
        <f>J13+J15+J16+J17+J18+J19+J20+J21+J22+J23+J24+J25+J26+J27+J28+J29+J30+J31+J14</f>
        <v>520733.69999999995</v>
      </c>
      <c r="K12" s="45">
        <f>K13+K15+K16+K17+K18+K19+K20+K21+K22+K23+K24+K25+K26+K27+K28+K29+K30+K31+K14</f>
        <v>521040.69999999995</v>
      </c>
      <c r="L12" s="45">
        <f>L13+L15+L16+L17+L18+L19+L20+L21+L22+L23+L24+L25+L26+L27+L28+L29+L30+L31</f>
        <v>-1647.1999999999982</v>
      </c>
      <c r="M12" s="150"/>
    </row>
    <row r="13" spans="1:13" ht="18.75" customHeight="1">
      <c r="A13" s="641" t="s">
        <v>27</v>
      </c>
      <c r="B13" s="642"/>
      <c r="C13" s="643"/>
      <c r="D13" s="8" t="s">
        <v>17</v>
      </c>
      <c r="E13" s="46" t="s">
        <v>3</v>
      </c>
      <c r="F13" s="47"/>
      <c r="G13" s="48">
        <v>276414.3</v>
      </c>
      <c r="H13" s="49">
        <v>276414.3</v>
      </c>
      <c r="I13" s="49">
        <v>0</v>
      </c>
      <c r="J13" s="48">
        <f>'hoaki dram19'!G30</f>
        <v>384032.39999999997</v>
      </c>
      <c r="K13" s="49">
        <f>'hoaki past19'!L28</f>
        <v>384032.39999999997</v>
      </c>
      <c r="L13" s="140">
        <f>SUM(K13-J13-I13)</f>
        <v>0</v>
      </c>
      <c r="M13" s="147" t="s">
        <v>16</v>
      </c>
    </row>
    <row r="14" spans="1:13" ht="18.75" customHeight="1">
      <c r="A14" s="632" t="s">
        <v>73</v>
      </c>
      <c r="B14" s="633"/>
      <c r="C14" s="634"/>
      <c r="D14" s="8"/>
      <c r="E14" s="46" t="s">
        <v>74</v>
      </c>
      <c r="F14" s="47"/>
      <c r="G14" s="48"/>
      <c r="H14" s="49"/>
      <c r="I14" s="49"/>
      <c r="J14" s="48">
        <f>'hoaki dram19'!H30</f>
        <v>528</v>
      </c>
      <c r="K14" s="49">
        <f>'hoaki past19'!M28</f>
        <v>528</v>
      </c>
      <c r="L14" s="140">
        <f aca="true" t="shared" si="0" ref="L14:L31">SUM(K14-J14-I14)</f>
        <v>0</v>
      </c>
      <c r="M14" s="147"/>
    </row>
    <row r="15" spans="1:13" ht="18.75" customHeight="1">
      <c r="A15" s="623" t="s">
        <v>61</v>
      </c>
      <c r="B15" s="624"/>
      <c r="C15" s="625"/>
      <c r="D15" s="50" t="s">
        <v>35</v>
      </c>
      <c r="E15" s="51" t="s">
        <v>4</v>
      </c>
      <c r="F15" s="52" t="s">
        <v>89</v>
      </c>
      <c r="G15" s="53">
        <v>35634.2</v>
      </c>
      <c r="H15" s="54">
        <v>35634.2</v>
      </c>
      <c r="I15" s="54">
        <f>'hoaki past19'!C28</f>
        <v>1918.4</v>
      </c>
      <c r="J15" s="53">
        <f>'hoaki dram19'!I30</f>
        <v>44084.8</v>
      </c>
      <c r="K15" s="54">
        <f>'hoaki past19'!N28</f>
        <v>44418.100000000006</v>
      </c>
      <c r="L15" s="140">
        <f t="shared" si="0"/>
        <v>-1585.0999999999972</v>
      </c>
      <c r="M15" s="141"/>
    </row>
    <row r="16" spans="1:13" ht="18.75" customHeight="1">
      <c r="A16" s="623" t="s">
        <v>62</v>
      </c>
      <c r="B16" s="624"/>
      <c r="C16" s="625"/>
      <c r="D16" s="50"/>
      <c r="E16" s="51" t="s">
        <v>5</v>
      </c>
      <c r="F16" s="52" t="s">
        <v>90</v>
      </c>
      <c r="G16" s="53">
        <v>12642.7</v>
      </c>
      <c r="H16" s="54">
        <v>12642.7</v>
      </c>
      <c r="I16" s="54">
        <f>'hoaki past19'!D28</f>
        <v>35.8</v>
      </c>
      <c r="J16" s="53">
        <f>'hoaki dram19'!J30</f>
        <v>3153.1000000000004</v>
      </c>
      <c r="K16" s="54">
        <f>'hoaki past19'!O28</f>
        <v>3128.7999999999997</v>
      </c>
      <c r="L16" s="140">
        <f t="shared" si="0"/>
        <v>-60.100000000000634</v>
      </c>
      <c r="M16" s="141"/>
    </row>
    <row r="17" spans="1:13" ht="18.75" customHeight="1">
      <c r="A17" s="626" t="s">
        <v>33</v>
      </c>
      <c r="B17" s="627"/>
      <c r="C17" s="628"/>
      <c r="D17" s="50" t="s">
        <v>34</v>
      </c>
      <c r="E17" s="51" t="s">
        <v>6</v>
      </c>
      <c r="F17" s="52" t="s">
        <v>91</v>
      </c>
      <c r="G17" s="53">
        <v>5710</v>
      </c>
      <c r="H17" s="54">
        <v>5710</v>
      </c>
      <c r="I17" s="54">
        <f>'hoaki past19'!E28</f>
        <v>0</v>
      </c>
      <c r="J17" s="53">
        <f>'hoaki dram19'!K30</f>
        <v>2153.7000000000003</v>
      </c>
      <c r="K17" s="54">
        <f>'hoaki past19'!P28</f>
        <v>2152.2999999999997</v>
      </c>
      <c r="L17" s="140">
        <f t="shared" si="0"/>
        <v>-1.4000000000005457</v>
      </c>
      <c r="M17" s="141"/>
    </row>
    <row r="18" spans="1:13" ht="18.75" customHeight="1">
      <c r="A18" s="629" t="s">
        <v>77</v>
      </c>
      <c r="B18" s="630"/>
      <c r="C18" s="631"/>
      <c r="D18" s="50"/>
      <c r="E18" s="51" t="s">
        <v>78</v>
      </c>
      <c r="F18" s="52"/>
      <c r="G18" s="53"/>
      <c r="H18" s="54"/>
      <c r="I18" s="54"/>
      <c r="J18" s="53">
        <f>'hoaki dram19'!L30</f>
        <v>19</v>
      </c>
      <c r="K18" s="54">
        <f>'hoaki past19'!Q28</f>
        <v>19</v>
      </c>
      <c r="L18" s="140">
        <f t="shared" si="0"/>
        <v>0</v>
      </c>
      <c r="M18" s="141"/>
    </row>
    <row r="19" spans="1:13" ht="18.75" customHeight="1">
      <c r="A19" s="626" t="s">
        <v>30</v>
      </c>
      <c r="B19" s="627"/>
      <c r="C19" s="628"/>
      <c r="D19" s="50" t="s">
        <v>31</v>
      </c>
      <c r="E19" s="51" t="s">
        <v>7</v>
      </c>
      <c r="F19" s="52"/>
      <c r="G19" s="53">
        <v>4416.1</v>
      </c>
      <c r="H19" s="54">
        <v>4416.1</v>
      </c>
      <c r="I19" s="54"/>
      <c r="J19" s="53">
        <f>'hoaki dram19'!M30</f>
        <v>3090.2000000000003</v>
      </c>
      <c r="K19" s="54">
        <f>'hoaki past19'!R28</f>
        <v>3090.2000000000003</v>
      </c>
      <c r="L19" s="140">
        <f t="shared" si="0"/>
        <v>0</v>
      </c>
      <c r="M19" s="141"/>
    </row>
    <row r="20" spans="1:13" ht="18.75" customHeight="1">
      <c r="A20" s="629" t="s">
        <v>64</v>
      </c>
      <c r="B20" s="630"/>
      <c r="C20" s="631"/>
      <c r="D20" s="50"/>
      <c r="E20" s="51" t="s">
        <v>9</v>
      </c>
      <c r="F20" s="52"/>
      <c r="G20" s="53">
        <v>2811.1</v>
      </c>
      <c r="H20" s="54">
        <v>2811.1</v>
      </c>
      <c r="I20" s="54"/>
      <c r="J20" s="53">
        <f>'hoaki dram19'!N30</f>
        <v>57.9</v>
      </c>
      <c r="K20" s="54">
        <f>'hoaki past19'!S28</f>
        <v>57.3</v>
      </c>
      <c r="L20" s="140">
        <f t="shared" si="0"/>
        <v>-0.6000000000000014</v>
      </c>
      <c r="M20" s="141"/>
    </row>
    <row r="21" spans="1:13" ht="18.75" customHeight="1">
      <c r="A21" s="626" t="s">
        <v>154</v>
      </c>
      <c r="B21" s="627"/>
      <c r="C21" s="628"/>
      <c r="D21" s="50" t="s">
        <v>40</v>
      </c>
      <c r="E21" s="51" t="s">
        <v>11</v>
      </c>
      <c r="F21" s="52"/>
      <c r="G21" s="53">
        <v>10384.7</v>
      </c>
      <c r="H21" s="54">
        <v>10384.7</v>
      </c>
      <c r="I21" s="54"/>
      <c r="J21" s="53">
        <f>'hoaki dram19'!O30</f>
        <v>25.2</v>
      </c>
      <c r="K21" s="54">
        <f>'hoaki past19'!T28</f>
        <v>25.2</v>
      </c>
      <c r="L21" s="140">
        <f t="shared" si="0"/>
        <v>0</v>
      </c>
      <c r="M21" s="141"/>
    </row>
    <row r="22" spans="1:13" ht="18.75" customHeight="1">
      <c r="A22" s="629" t="s">
        <v>65</v>
      </c>
      <c r="B22" s="630"/>
      <c r="C22" s="631"/>
      <c r="D22" s="50"/>
      <c r="E22" s="51" t="s">
        <v>12</v>
      </c>
      <c r="F22" s="52"/>
      <c r="G22" s="53">
        <v>5663.8</v>
      </c>
      <c r="H22" s="54">
        <v>5663.8</v>
      </c>
      <c r="I22" s="54"/>
      <c r="J22" s="53">
        <f>'hoaki dram19'!P30</f>
        <v>3134.1000000000004</v>
      </c>
      <c r="K22" s="54">
        <f>'hoaki past19'!U28</f>
        <v>3134.1000000000004</v>
      </c>
      <c r="L22" s="140">
        <f t="shared" si="0"/>
        <v>0</v>
      </c>
      <c r="M22" s="141"/>
    </row>
    <row r="23" spans="1:13" ht="18.75" customHeight="1">
      <c r="A23" s="629" t="s">
        <v>66</v>
      </c>
      <c r="B23" s="630"/>
      <c r="C23" s="631"/>
      <c r="D23" s="50"/>
      <c r="E23" s="51" t="s">
        <v>13</v>
      </c>
      <c r="F23" s="52"/>
      <c r="G23" s="53">
        <v>1633.3</v>
      </c>
      <c r="H23" s="54">
        <v>1633.3</v>
      </c>
      <c r="I23" s="54"/>
      <c r="J23" s="53">
        <f>'hoaki dram19'!Q30</f>
        <v>439.4</v>
      </c>
      <c r="K23" s="53">
        <f>'hoaki past19'!V28</f>
        <v>439.4</v>
      </c>
      <c r="L23" s="140">
        <f t="shared" si="0"/>
        <v>0</v>
      </c>
      <c r="M23" s="141"/>
    </row>
    <row r="24" spans="1:13" ht="18.75" customHeight="1">
      <c r="A24" s="629" t="s">
        <v>67</v>
      </c>
      <c r="B24" s="630"/>
      <c r="C24" s="631"/>
      <c r="D24" s="50"/>
      <c r="E24" s="51" t="s">
        <v>14</v>
      </c>
      <c r="F24" s="52"/>
      <c r="G24" s="53">
        <v>250</v>
      </c>
      <c r="H24" s="54">
        <v>250</v>
      </c>
      <c r="I24" s="54"/>
      <c r="J24" s="53">
        <f>'hoaki dram19'!R30</f>
        <v>2173.1</v>
      </c>
      <c r="K24" s="54">
        <f>'hoaki past19'!W28</f>
        <v>2173.1</v>
      </c>
      <c r="L24" s="140">
        <f t="shared" si="0"/>
        <v>0</v>
      </c>
      <c r="M24" s="141"/>
    </row>
    <row r="25" spans="1:13" ht="18.75" customHeight="1">
      <c r="A25" s="657" t="s">
        <v>28</v>
      </c>
      <c r="B25" s="658"/>
      <c r="C25" s="659"/>
      <c r="D25" s="50" t="s">
        <v>29</v>
      </c>
      <c r="E25" s="51" t="s">
        <v>15</v>
      </c>
      <c r="F25" s="52"/>
      <c r="G25" s="53">
        <v>3950.3</v>
      </c>
      <c r="H25" s="54">
        <v>3950.3</v>
      </c>
      <c r="I25" s="54"/>
      <c r="J25" s="53">
        <f>'hoaki dram19'!S30</f>
        <v>2588.6</v>
      </c>
      <c r="K25" s="54">
        <f>'hoaki past19'!X28</f>
        <v>2588.6</v>
      </c>
      <c r="L25" s="140">
        <f t="shared" si="0"/>
        <v>0</v>
      </c>
      <c r="M25" s="141"/>
    </row>
    <row r="26" spans="1:13" ht="18.75" customHeight="1">
      <c r="A26" s="620" t="s">
        <v>152</v>
      </c>
      <c r="B26" s="621"/>
      <c r="C26" s="622"/>
      <c r="D26" s="50"/>
      <c r="E26" s="51" t="s">
        <v>79</v>
      </c>
      <c r="F26" s="52"/>
      <c r="G26" s="53"/>
      <c r="H26" s="54"/>
      <c r="I26" s="54"/>
      <c r="J26" s="53">
        <f>'hoaki dram19'!T30</f>
        <v>100</v>
      </c>
      <c r="K26" s="54">
        <f>'hoaki past19'!Y28</f>
        <v>100</v>
      </c>
      <c r="L26" s="140">
        <f t="shared" si="0"/>
        <v>0</v>
      </c>
      <c r="M26" s="141"/>
    </row>
    <row r="27" spans="1:13" ht="18.75" customHeight="1">
      <c r="A27" s="626" t="s">
        <v>68</v>
      </c>
      <c r="B27" s="627"/>
      <c r="C27" s="628"/>
      <c r="D27" s="50" t="s">
        <v>32</v>
      </c>
      <c r="E27" s="51" t="s">
        <v>51</v>
      </c>
      <c r="F27" s="52"/>
      <c r="G27" s="53">
        <v>24681.2</v>
      </c>
      <c r="H27" s="54">
        <v>24681.2</v>
      </c>
      <c r="I27" s="54"/>
      <c r="J27" s="53">
        <f>'hoaki dram19'!U30</f>
        <v>2097.9</v>
      </c>
      <c r="K27" s="54">
        <f>'hoaki past19'!Z28</f>
        <v>2097.9</v>
      </c>
      <c r="L27" s="140">
        <f t="shared" si="0"/>
        <v>0</v>
      </c>
      <c r="M27" s="141"/>
    </row>
    <row r="28" spans="1:13" ht="18.75" customHeight="1">
      <c r="A28" s="629" t="s">
        <v>76</v>
      </c>
      <c r="B28" s="630"/>
      <c r="C28" s="631"/>
      <c r="D28" s="50"/>
      <c r="E28" s="51" t="s">
        <v>97</v>
      </c>
      <c r="F28" s="52"/>
      <c r="G28" s="53"/>
      <c r="H28" s="54"/>
      <c r="I28" s="54"/>
      <c r="J28" s="53">
        <f>'hoaki dram19'!V30</f>
        <v>697</v>
      </c>
      <c r="K28" s="54">
        <f>'hoaki past19'!AA28</f>
        <v>697</v>
      </c>
      <c r="L28" s="140">
        <f t="shared" si="0"/>
        <v>0</v>
      </c>
      <c r="M28" s="141"/>
    </row>
    <row r="29" spans="1:13" ht="18.75" customHeight="1">
      <c r="A29" s="629" t="s">
        <v>69</v>
      </c>
      <c r="B29" s="630"/>
      <c r="C29" s="631"/>
      <c r="D29" s="50"/>
      <c r="E29" s="51" t="s">
        <v>52</v>
      </c>
      <c r="F29" s="52"/>
      <c r="G29" s="53">
        <v>43982.3</v>
      </c>
      <c r="H29" s="54">
        <v>43982.3</v>
      </c>
      <c r="I29" s="54"/>
      <c r="J29" s="53">
        <f>'hoaki dram19'!W30</f>
        <v>71518.5</v>
      </c>
      <c r="K29" s="54">
        <f>'hoaki past19'!AB28</f>
        <v>71518.5</v>
      </c>
      <c r="L29" s="140">
        <f t="shared" si="0"/>
        <v>0</v>
      </c>
      <c r="M29" s="141"/>
    </row>
    <row r="30" spans="1:13" ht="18.75" customHeight="1">
      <c r="A30" s="629" t="s">
        <v>75</v>
      </c>
      <c r="B30" s="630"/>
      <c r="C30" s="631"/>
      <c r="D30" s="50"/>
      <c r="E30" s="51" t="s">
        <v>2</v>
      </c>
      <c r="F30" s="52"/>
      <c r="G30" s="53"/>
      <c r="H30" s="54"/>
      <c r="I30" s="54"/>
      <c r="J30" s="53">
        <f>'hoaki dram19'!X30</f>
        <v>801.6</v>
      </c>
      <c r="K30" s="54">
        <f>'hoaki past19'!AC28</f>
        <v>801.6</v>
      </c>
      <c r="L30" s="140">
        <f t="shared" si="0"/>
        <v>0</v>
      </c>
      <c r="M30" s="141"/>
    </row>
    <row r="31" spans="1:13" ht="18.75" customHeight="1" thickBot="1">
      <c r="A31" s="626" t="s">
        <v>36</v>
      </c>
      <c r="B31" s="627"/>
      <c r="C31" s="628"/>
      <c r="D31" s="50" t="s">
        <v>37</v>
      </c>
      <c r="E31" s="51" t="s">
        <v>60</v>
      </c>
      <c r="F31" s="52"/>
      <c r="G31" s="53">
        <v>500</v>
      </c>
      <c r="H31" s="54">
        <v>500</v>
      </c>
      <c r="I31" s="54"/>
      <c r="J31" s="53">
        <f>'hoaki dram19'!Y30</f>
        <v>39.2</v>
      </c>
      <c r="K31" s="54">
        <f>'hoaki past19'!AD28</f>
        <v>39.2</v>
      </c>
      <c r="L31" s="140">
        <f t="shared" si="0"/>
        <v>0</v>
      </c>
      <c r="M31" s="151"/>
    </row>
    <row r="32" spans="1:13" ht="18.75" customHeight="1" thickBot="1">
      <c r="A32" s="648" t="s">
        <v>43</v>
      </c>
      <c r="B32" s="649"/>
      <c r="C32" s="650"/>
      <c r="D32" s="39" t="s">
        <v>16</v>
      </c>
      <c r="E32" s="40"/>
      <c r="F32" s="44"/>
      <c r="G32" s="45">
        <f>SUM(G33:G37)</f>
        <v>87696.4</v>
      </c>
      <c r="H32" s="45">
        <f>SUM(H33:H37)</f>
        <v>87696.4</v>
      </c>
      <c r="I32" s="45">
        <f>I33+I36+I37</f>
        <v>0</v>
      </c>
      <c r="J32" s="45">
        <f>J33+J36+J37+J34+J35</f>
        <v>2901</v>
      </c>
      <c r="K32" s="45">
        <f>K33+K36+K37+K34+K35</f>
        <v>2901</v>
      </c>
      <c r="L32" s="55">
        <f>L33+L36+L37</f>
        <v>0</v>
      </c>
      <c r="M32" s="150"/>
    </row>
    <row r="33" spans="1:13" ht="22.5" customHeight="1">
      <c r="A33" s="660" t="s">
        <v>247</v>
      </c>
      <c r="B33" s="661"/>
      <c r="C33" s="662"/>
      <c r="D33" s="132"/>
      <c r="E33" s="69" t="s">
        <v>158</v>
      </c>
      <c r="F33" s="133"/>
      <c r="G33" s="57">
        <v>82596.4</v>
      </c>
      <c r="H33" s="56">
        <v>82596.4</v>
      </c>
      <c r="I33" s="56"/>
      <c r="J33" s="57">
        <f>'hoaki dram19'!AA30</f>
        <v>880</v>
      </c>
      <c r="K33" s="58">
        <f>'hoaki past19'!AF28</f>
        <v>880</v>
      </c>
      <c r="L33" s="57">
        <f>(K33-J33-I33)</f>
        <v>0</v>
      </c>
      <c r="M33" s="152"/>
    </row>
    <row r="34" spans="1:13" ht="22.5" customHeight="1">
      <c r="A34" s="651" t="s">
        <v>248</v>
      </c>
      <c r="B34" s="652"/>
      <c r="C34" s="653"/>
      <c r="D34" s="8"/>
      <c r="E34" s="46" t="s">
        <v>82</v>
      </c>
      <c r="F34" s="47"/>
      <c r="G34" s="48"/>
      <c r="H34" s="49"/>
      <c r="I34" s="49"/>
      <c r="J34" s="48">
        <f>'hoaki dram19'!AB30</f>
        <v>145</v>
      </c>
      <c r="K34" s="572">
        <f>'hoaki past19'!AG28</f>
        <v>145</v>
      </c>
      <c r="L34" s="53">
        <f>(K34-J34-I34)</f>
        <v>0</v>
      </c>
      <c r="M34" s="152"/>
    </row>
    <row r="35" spans="1:13" ht="22.5" customHeight="1" hidden="1">
      <c r="A35" s="654" t="s">
        <v>165</v>
      </c>
      <c r="B35" s="655"/>
      <c r="C35" s="656"/>
      <c r="D35" s="8"/>
      <c r="E35" s="46" t="s">
        <v>56</v>
      </c>
      <c r="F35" s="47"/>
      <c r="G35" s="48"/>
      <c r="H35" s="49"/>
      <c r="I35" s="49"/>
      <c r="J35" s="48">
        <f>'hoaki dram19'!AC30</f>
        <v>0</v>
      </c>
      <c r="K35" s="572">
        <f>'hoaki past19'!AH28</f>
        <v>0</v>
      </c>
      <c r="L35" s="53">
        <f>(K35-J35-I35)</f>
        <v>0</v>
      </c>
      <c r="M35" s="152"/>
    </row>
    <row r="36" spans="1:13" ht="22.5" customHeight="1">
      <c r="A36" s="629" t="s">
        <v>88</v>
      </c>
      <c r="B36" s="630"/>
      <c r="C36" s="631"/>
      <c r="D36" s="9" t="s">
        <v>46</v>
      </c>
      <c r="E36" s="51" t="s">
        <v>50</v>
      </c>
      <c r="F36" s="52"/>
      <c r="G36" s="53">
        <v>5100</v>
      </c>
      <c r="H36" s="54">
        <v>5100</v>
      </c>
      <c r="I36" s="54"/>
      <c r="J36" s="53">
        <f>'hoaki dram19'!AD30</f>
        <v>1122</v>
      </c>
      <c r="K36" s="59">
        <f>'hoaki past19'!AI28</f>
        <v>1122</v>
      </c>
      <c r="L36" s="48">
        <f>(K36-J36-I36)</f>
        <v>0</v>
      </c>
      <c r="M36" s="141"/>
    </row>
    <row r="37" spans="1:13" ht="22.5" customHeight="1" thickBot="1">
      <c r="A37" s="646" t="s">
        <v>70</v>
      </c>
      <c r="B37" s="647"/>
      <c r="C37" s="647"/>
      <c r="D37" s="647"/>
      <c r="E37" s="134" t="s">
        <v>58</v>
      </c>
      <c r="F37" s="135"/>
      <c r="G37" s="136"/>
      <c r="H37" s="136"/>
      <c r="I37" s="60"/>
      <c r="J37" s="61">
        <f>'hoaki dram19'!AE30</f>
        <v>754</v>
      </c>
      <c r="K37" s="61">
        <f>'hoaki past19'!AJ28</f>
        <v>754</v>
      </c>
      <c r="L37" s="140">
        <f>(K37-J37-I37)</f>
        <v>0</v>
      </c>
      <c r="M37" s="151"/>
    </row>
    <row r="38" spans="1:13" s="67" customFormat="1" ht="18.75" customHeight="1" thickBot="1">
      <c r="A38" s="644" t="s">
        <v>153</v>
      </c>
      <c r="B38" s="645"/>
      <c r="C38" s="645"/>
      <c r="D38" s="62"/>
      <c r="E38" s="63"/>
      <c r="F38" s="64"/>
      <c r="G38" s="65"/>
      <c r="H38" s="65"/>
      <c r="I38" s="66">
        <f>'hoaki dram19'!B30</f>
        <v>38.800000000000004</v>
      </c>
      <c r="J38" s="66"/>
      <c r="K38" s="66"/>
      <c r="L38" s="66">
        <f>I38+J7-J11</f>
        <v>33.79999999998836</v>
      </c>
      <c r="M38" s="153"/>
    </row>
    <row r="39" spans="1:13" s="743" customFormat="1" ht="19.5" customHeight="1">
      <c r="A39" s="740" t="s">
        <v>16</v>
      </c>
      <c r="B39" s="741" t="s">
        <v>185</v>
      </c>
      <c r="C39" s="741"/>
      <c r="D39" s="741"/>
      <c r="E39" s="741"/>
      <c r="F39" s="740"/>
      <c r="G39" s="740"/>
      <c r="H39" s="740"/>
      <c r="I39" s="740"/>
      <c r="J39" s="742" t="s">
        <v>237</v>
      </c>
      <c r="K39" s="742"/>
      <c r="L39" s="740"/>
      <c r="M39" s="740"/>
    </row>
    <row r="40" spans="1:11" s="68" customFormat="1" ht="25.5" customHeight="1">
      <c r="A40" s="744" t="s">
        <v>109</v>
      </c>
      <c r="B40" s="744"/>
      <c r="C40" s="744"/>
      <c r="D40" s="744"/>
      <c r="E40" s="744"/>
      <c r="F40" s="745"/>
      <c r="G40" s="745"/>
      <c r="H40" s="746" t="s">
        <v>49</v>
      </c>
      <c r="I40" s="746"/>
      <c r="J40" s="747" t="s">
        <v>112</v>
      </c>
      <c r="K40" s="747"/>
    </row>
    <row r="41" spans="1:11" s="68" customFormat="1" ht="25.5" customHeight="1">
      <c r="A41" s="744" t="s">
        <v>182</v>
      </c>
      <c r="B41" s="744"/>
      <c r="C41" s="744"/>
      <c r="D41" s="744"/>
      <c r="E41" s="744"/>
      <c r="F41" s="745"/>
      <c r="G41" s="745"/>
      <c r="H41" s="746" t="s">
        <v>49</v>
      </c>
      <c r="I41" s="746"/>
      <c r="J41" s="747" t="s">
        <v>183</v>
      </c>
      <c r="K41" s="747"/>
    </row>
  </sheetData>
  <sheetProtection/>
  <mergeCells count="49">
    <mergeCell ref="J41:K41"/>
    <mergeCell ref="A33:C33"/>
    <mergeCell ref="A36:C36"/>
    <mergeCell ref="A41:E41"/>
    <mergeCell ref="J39:K39"/>
    <mergeCell ref="A40:E40"/>
    <mergeCell ref="J40:K40"/>
    <mergeCell ref="A38:C38"/>
    <mergeCell ref="B39:E39"/>
    <mergeCell ref="A37:D37"/>
    <mergeCell ref="A20:C20"/>
    <mergeCell ref="A30:C30"/>
    <mergeCell ref="A32:C32"/>
    <mergeCell ref="A34:C34"/>
    <mergeCell ref="A35:C35"/>
    <mergeCell ref="A25:C25"/>
    <mergeCell ref="A31:C31"/>
    <mergeCell ref="A28:C28"/>
    <mergeCell ref="A29:C29"/>
    <mergeCell ref="A12:C12"/>
    <mergeCell ref="A13:C13"/>
    <mergeCell ref="A23:C23"/>
    <mergeCell ref="A24:C24"/>
    <mergeCell ref="A21:C21"/>
    <mergeCell ref="A14:C14"/>
    <mergeCell ref="A8:C8"/>
    <mergeCell ref="A10:C10"/>
    <mergeCell ref="A22:C22"/>
    <mergeCell ref="A27:C27"/>
    <mergeCell ref="G5:G6"/>
    <mergeCell ref="H5:H6"/>
    <mergeCell ref="J5:K5"/>
    <mergeCell ref="I5:I6"/>
    <mergeCell ref="A26:C26"/>
    <mergeCell ref="A15:C15"/>
    <mergeCell ref="A16:C16"/>
    <mergeCell ref="A17:C17"/>
    <mergeCell ref="A18:C18"/>
    <mergeCell ref="A19:C19"/>
    <mergeCell ref="M5:M6"/>
    <mergeCell ref="L5:L6"/>
    <mergeCell ref="E5:E6"/>
    <mergeCell ref="A7:C7"/>
    <mergeCell ref="A11:C11"/>
    <mergeCell ref="A1:L1"/>
    <mergeCell ref="A3:L3"/>
    <mergeCell ref="A5:C6"/>
    <mergeCell ref="D5:D6"/>
    <mergeCell ref="F5:F6"/>
  </mergeCells>
  <printOptions/>
  <pageMargins left="0.15" right="0.15" top="0.14" bottom="0.13" header="0.14" footer="0.1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W49"/>
  <sheetViews>
    <sheetView view="pageBreakPreview" zoomScaleSheetLayoutView="100" workbookViewId="0" topLeftCell="A2">
      <pane xSplit="1" ySplit="3" topLeftCell="AC5" activePane="bottomRight" state="frozen"/>
      <selection pane="topLeft" activeCell="A2" sqref="A2"/>
      <selection pane="topRight" activeCell="B2" sqref="B2"/>
      <selection pane="bottomLeft" activeCell="A4" sqref="A4"/>
      <selection pane="bottomRight" activeCell="AE9" sqref="AE9"/>
    </sheetView>
  </sheetViews>
  <sheetFormatPr defaultColWidth="9.140625" defaultRowHeight="12.75"/>
  <cols>
    <col min="1" max="1" width="27.28125" style="240" customWidth="1"/>
    <col min="2" max="2" width="11.140625" style="240" customWidth="1"/>
    <col min="3" max="3" width="11.00390625" style="240" customWidth="1"/>
    <col min="4" max="4" width="9.28125" style="240" customWidth="1"/>
    <col min="5" max="6" width="9.140625" style="240" customWidth="1"/>
    <col min="7" max="7" width="7.57421875" style="240" customWidth="1"/>
    <col min="8" max="8" width="11.00390625" style="240" customWidth="1"/>
    <col min="9" max="9" width="6.421875" style="240" customWidth="1"/>
    <col min="10" max="10" width="8.421875" style="240" customWidth="1"/>
    <col min="11" max="11" width="7.8515625" style="240" customWidth="1"/>
    <col min="12" max="12" width="7.57421875" style="240" customWidth="1"/>
    <col min="13" max="13" width="9.00390625" style="240" customWidth="1"/>
    <col min="14" max="14" width="9.8515625" style="240" customWidth="1"/>
    <col min="15" max="15" width="10.421875" style="240" customWidth="1"/>
    <col min="16" max="16" width="12.140625" style="240" customWidth="1"/>
    <col min="17" max="17" width="9.421875" style="240" customWidth="1"/>
    <col min="18" max="18" width="6.421875" style="240" customWidth="1"/>
    <col min="19" max="19" width="10.7109375" style="240" customWidth="1"/>
    <col min="20" max="20" width="10.28125" style="240" customWidth="1"/>
    <col min="21" max="21" width="7.57421875" style="240" customWidth="1"/>
    <col min="22" max="22" width="12.57421875" style="240" customWidth="1"/>
    <col min="23" max="23" width="9.57421875" style="240" customWidth="1"/>
    <col min="24" max="24" width="9.421875" style="240" customWidth="1"/>
    <col min="25" max="25" width="7.140625" style="240" customWidth="1"/>
    <col min="26" max="26" width="9.57421875" style="240" customWidth="1"/>
    <col min="27" max="27" width="0.2890625" style="240" customWidth="1"/>
    <col min="28" max="28" width="11.8515625" style="240" customWidth="1"/>
    <col min="29" max="29" width="7.7109375" style="240" customWidth="1"/>
    <col min="30" max="30" width="8.8515625" style="240" customWidth="1"/>
    <col min="31" max="31" width="10.421875" style="240" customWidth="1"/>
    <col min="32" max="32" width="9.421875" style="240" customWidth="1"/>
    <col min="33" max="33" width="5.421875" style="240" customWidth="1"/>
    <col min="34" max="34" width="8.8515625" style="240" customWidth="1"/>
    <col min="35" max="35" width="7.421875" style="240" customWidth="1"/>
    <col min="36" max="36" width="7.140625" style="240" customWidth="1"/>
    <col min="37" max="37" width="10.421875" style="240" customWidth="1"/>
    <col min="38" max="38" width="11.8515625" style="240" customWidth="1"/>
    <col min="39" max="41" width="10.8515625" style="240" customWidth="1"/>
    <col min="42" max="42" width="12.7109375" style="240" customWidth="1"/>
    <col min="43" max="16384" width="9.140625" style="240" customWidth="1"/>
  </cols>
  <sheetData>
    <row r="1" spans="37:38" ht="12.75" hidden="1">
      <c r="AK1" s="350"/>
      <c r="AL1" s="351"/>
    </row>
    <row r="2" spans="1:38" ht="15">
      <c r="A2" s="352" t="s">
        <v>243</v>
      </c>
      <c r="AK2" s="350"/>
      <c r="AL2" s="351"/>
    </row>
    <row r="3" spans="1:38" s="354" customFormat="1" ht="14.25" customHeight="1" thickBot="1">
      <c r="A3" s="663"/>
      <c r="B3" s="663"/>
      <c r="C3" s="663"/>
      <c r="D3" s="663"/>
      <c r="E3" s="663"/>
      <c r="F3" s="663"/>
      <c r="G3" s="663"/>
      <c r="H3" s="663"/>
      <c r="I3" s="663"/>
      <c r="J3" s="663"/>
      <c r="K3" s="663"/>
      <c r="L3" s="663"/>
      <c r="M3" s="663"/>
      <c r="N3" s="663"/>
      <c r="O3" s="663"/>
      <c r="P3" s="663"/>
      <c r="Q3" s="353"/>
      <c r="R3" s="353"/>
      <c r="S3" s="353"/>
      <c r="T3" s="353"/>
      <c r="U3" s="353"/>
      <c r="V3" s="353"/>
      <c r="W3" s="353"/>
      <c r="X3" s="353"/>
      <c r="Y3" s="353"/>
      <c r="Z3" s="353"/>
      <c r="AA3" s="353"/>
      <c r="AB3" s="353"/>
      <c r="AC3" s="353"/>
      <c r="AD3" s="353"/>
      <c r="AE3" s="353"/>
      <c r="AF3" s="353"/>
      <c r="AG3" s="353"/>
      <c r="AH3" s="353"/>
      <c r="AI3" s="353"/>
      <c r="AJ3" s="353"/>
      <c r="AK3" s="353"/>
      <c r="AL3" s="353"/>
    </row>
    <row r="4" spans="1:42" s="254" customFormat="1" ht="37.5" customHeight="1" thickBot="1">
      <c r="A4" s="355"/>
      <c r="B4" s="356">
        <v>4111</v>
      </c>
      <c r="C4" s="356">
        <v>4112</v>
      </c>
      <c r="D4" s="357">
        <v>4212</v>
      </c>
      <c r="E4" s="357">
        <v>4213</v>
      </c>
      <c r="F4" s="357">
        <v>4214</v>
      </c>
      <c r="G4" s="357">
        <v>4215</v>
      </c>
      <c r="H4" s="357">
        <v>4221</v>
      </c>
      <c r="I4" s="357">
        <v>4222</v>
      </c>
      <c r="J4" s="357">
        <v>4232</v>
      </c>
      <c r="K4" s="357">
        <v>4234</v>
      </c>
      <c r="L4" s="357">
        <v>4237</v>
      </c>
      <c r="M4" s="357">
        <v>4239</v>
      </c>
      <c r="N4" s="357">
        <v>4241</v>
      </c>
      <c r="O4" s="357">
        <v>4251</v>
      </c>
      <c r="P4" s="357">
        <v>4252</v>
      </c>
      <c r="Q4" s="357">
        <v>4261</v>
      </c>
      <c r="R4" s="357">
        <v>4262</v>
      </c>
      <c r="S4" s="357" t="s">
        <v>51</v>
      </c>
      <c r="T4" s="357" t="s">
        <v>52</v>
      </c>
      <c r="U4" s="357" t="s">
        <v>2</v>
      </c>
      <c r="V4" s="357">
        <v>4511</v>
      </c>
      <c r="W4" s="357">
        <v>4637</v>
      </c>
      <c r="X4" s="357" t="s">
        <v>54</v>
      </c>
      <c r="Y4" s="357">
        <v>4819</v>
      </c>
      <c r="Z4" s="358" t="s">
        <v>60</v>
      </c>
      <c r="AA4" s="359">
        <v>4891</v>
      </c>
      <c r="AB4" s="360" t="s">
        <v>127</v>
      </c>
      <c r="AC4" s="361">
        <v>5111</v>
      </c>
      <c r="AD4" s="362" t="s">
        <v>82</v>
      </c>
      <c r="AE4" s="362" t="s">
        <v>56</v>
      </c>
      <c r="AF4" s="362" t="s">
        <v>57</v>
      </c>
      <c r="AG4" s="362" t="s">
        <v>50</v>
      </c>
      <c r="AH4" s="363" t="s">
        <v>58</v>
      </c>
      <c r="AI4" s="363" t="s">
        <v>224</v>
      </c>
      <c r="AJ4" s="363" t="s">
        <v>59</v>
      </c>
      <c r="AK4" s="244" t="s">
        <v>171</v>
      </c>
      <c r="AL4" s="364" t="s">
        <v>128</v>
      </c>
      <c r="AM4" s="365">
        <v>8111</v>
      </c>
      <c r="AN4" s="366">
        <v>8411</v>
      </c>
      <c r="AO4" s="367" t="s">
        <v>174</v>
      </c>
      <c r="AP4" s="368" t="s">
        <v>175</v>
      </c>
    </row>
    <row r="5" spans="1:42" s="273" customFormat="1" ht="18.75" customHeight="1">
      <c r="A5" s="373" t="s">
        <v>123</v>
      </c>
      <c r="B5" s="497">
        <v>77509.4</v>
      </c>
      <c r="C5" s="498">
        <v>10643</v>
      </c>
      <c r="D5" s="498">
        <v>5312.3</v>
      </c>
      <c r="E5" s="498">
        <v>173.7</v>
      </c>
      <c r="F5" s="498">
        <v>1692.6</v>
      </c>
      <c r="G5" s="498">
        <v>124</v>
      </c>
      <c r="H5" s="498">
        <v>96.2</v>
      </c>
      <c r="I5" s="498"/>
      <c r="J5" s="498">
        <v>434</v>
      </c>
      <c r="K5" s="498">
        <v>46.2</v>
      </c>
      <c r="L5" s="498">
        <v>846.8</v>
      </c>
      <c r="M5" s="498"/>
      <c r="N5" s="498">
        <v>3039.4</v>
      </c>
      <c r="O5" s="498"/>
      <c r="P5" s="498">
        <v>530</v>
      </c>
      <c r="Q5" s="498">
        <v>1537.4</v>
      </c>
      <c r="R5" s="498"/>
      <c r="S5" s="498">
        <v>1503.5</v>
      </c>
      <c r="T5" s="499">
        <v>618.4</v>
      </c>
      <c r="U5" s="498"/>
      <c r="V5" s="498"/>
      <c r="W5" s="498"/>
      <c r="X5" s="498"/>
      <c r="Y5" s="498"/>
      <c r="Z5" s="500">
        <v>53.6</v>
      </c>
      <c r="AA5" s="501"/>
      <c r="AB5" s="502">
        <f>SUM(B5:AA5)</f>
        <v>104160.49999999999</v>
      </c>
      <c r="AC5" s="503"/>
      <c r="AD5" s="504"/>
      <c r="AE5" s="498"/>
      <c r="AF5" s="498">
        <v>4300</v>
      </c>
      <c r="AG5" s="505">
        <v>238</v>
      </c>
      <c r="AH5" s="498"/>
      <c r="AI5" s="506"/>
      <c r="AJ5" s="506"/>
      <c r="AK5" s="502">
        <f>SUM(AC5+AD5+AE5+AF5+AG5+AH5+AI5+AJ5)</f>
        <v>4538</v>
      </c>
      <c r="AL5" s="507">
        <f aca="true" t="shared" si="0" ref="AL5:AL18">SUM(AB5,AK5)</f>
        <v>108698.49999999999</v>
      </c>
      <c r="AM5" s="508"/>
      <c r="AN5" s="509"/>
      <c r="AO5" s="510">
        <f>AM5+AN5</f>
        <v>0</v>
      </c>
      <c r="AP5" s="511">
        <f aca="true" t="shared" si="1" ref="AP5:AP12">AL5+AO5</f>
        <v>108698.49999999999</v>
      </c>
    </row>
    <row r="6" spans="1:42" s="273" customFormat="1" ht="18.75" customHeight="1">
      <c r="A6" s="369" t="s">
        <v>234</v>
      </c>
      <c r="B6" s="512">
        <v>5530.9</v>
      </c>
      <c r="C6" s="513">
        <v>485.4</v>
      </c>
      <c r="D6" s="513">
        <v>182.2</v>
      </c>
      <c r="E6" s="513"/>
      <c r="F6" s="513">
        <v>147.7</v>
      </c>
      <c r="G6" s="513"/>
      <c r="H6" s="513"/>
      <c r="I6" s="513"/>
      <c r="J6" s="513"/>
      <c r="K6" s="513"/>
      <c r="L6" s="513"/>
      <c r="M6" s="513"/>
      <c r="N6" s="513">
        <v>600</v>
      </c>
      <c r="O6" s="513"/>
      <c r="P6" s="513"/>
      <c r="Q6" s="513">
        <v>80</v>
      </c>
      <c r="R6" s="513"/>
      <c r="S6" s="513"/>
      <c r="T6" s="513"/>
      <c r="U6" s="513"/>
      <c r="V6" s="513"/>
      <c r="W6" s="513"/>
      <c r="X6" s="513"/>
      <c r="Y6" s="513"/>
      <c r="Z6" s="514"/>
      <c r="AA6" s="501"/>
      <c r="AB6" s="502">
        <f aca="true" t="shared" si="2" ref="AB6:AB19">SUM(B6:AA6)</f>
        <v>7026.199999999999</v>
      </c>
      <c r="AC6" s="503"/>
      <c r="AD6" s="515"/>
      <c r="AE6" s="513"/>
      <c r="AF6" s="513"/>
      <c r="AG6" s="516"/>
      <c r="AH6" s="513"/>
      <c r="AI6" s="514"/>
      <c r="AJ6" s="514"/>
      <c r="AK6" s="502">
        <f aca="true" t="shared" si="3" ref="AK6:AK19">SUM(AC6+AD6+AE6+AF6+AG6+AH6+AI6+AJ6)</f>
        <v>0</v>
      </c>
      <c r="AL6" s="507">
        <f t="shared" si="0"/>
        <v>7026.199999999999</v>
      </c>
      <c r="AM6" s="517"/>
      <c r="AN6" s="518"/>
      <c r="AO6" s="519">
        <f aca="true" t="shared" si="4" ref="AO6:AO44">AM6+AN6</f>
        <v>0</v>
      </c>
      <c r="AP6" s="511">
        <f t="shared" si="1"/>
        <v>7026.199999999999</v>
      </c>
    </row>
    <row r="7" spans="1:42" s="273" customFormat="1" ht="18.75" customHeight="1">
      <c r="A7" s="369" t="s">
        <v>0</v>
      </c>
      <c r="B7" s="512">
        <v>7202.8</v>
      </c>
      <c r="C7" s="513"/>
      <c r="D7" s="513"/>
      <c r="E7" s="513"/>
      <c r="F7" s="513"/>
      <c r="G7" s="513"/>
      <c r="H7" s="513"/>
      <c r="I7" s="513"/>
      <c r="J7" s="513">
        <v>345.6</v>
      </c>
      <c r="K7" s="513"/>
      <c r="L7" s="513"/>
      <c r="M7" s="513"/>
      <c r="N7" s="513"/>
      <c r="O7" s="513"/>
      <c r="P7" s="513"/>
      <c r="Q7" s="513"/>
      <c r="R7" s="513"/>
      <c r="S7" s="513"/>
      <c r="T7" s="513"/>
      <c r="U7" s="513"/>
      <c r="V7" s="513"/>
      <c r="W7" s="513"/>
      <c r="X7" s="513"/>
      <c r="Y7" s="513"/>
      <c r="Z7" s="514"/>
      <c r="AA7" s="501"/>
      <c r="AB7" s="502">
        <f t="shared" si="2"/>
        <v>7548.400000000001</v>
      </c>
      <c r="AC7" s="503"/>
      <c r="AD7" s="513"/>
      <c r="AE7" s="513"/>
      <c r="AF7" s="513"/>
      <c r="AG7" s="516"/>
      <c r="AH7" s="513"/>
      <c r="AI7" s="514"/>
      <c r="AJ7" s="514"/>
      <c r="AK7" s="502">
        <f t="shared" si="3"/>
        <v>0</v>
      </c>
      <c r="AL7" s="507">
        <f t="shared" si="0"/>
        <v>7548.400000000001</v>
      </c>
      <c r="AM7" s="517"/>
      <c r="AN7" s="518"/>
      <c r="AO7" s="519">
        <f t="shared" si="4"/>
        <v>0</v>
      </c>
      <c r="AP7" s="511">
        <f t="shared" si="1"/>
        <v>7548.400000000001</v>
      </c>
    </row>
    <row r="8" spans="1:42" s="273" customFormat="1" ht="18.75" customHeight="1">
      <c r="A8" s="369" t="s">
        <v>1</v>
      </c>
      <c r="B8" s="512"/>
      <c r="C8" s="513"/>
      <c r="D8" s="513"/>
      <c r="E8" s="520"/>
      <c r="F8" s="513"/>
      <c r="G8" s="513"/>
      <c r="H8" s="513">
        <v>1140</v>
      </c>
      <c r="I8" s="513"/>
      <c r="J8" s="513"/>
      <c r="K8" s="513">
        <v>118.8</v>
      </c>
      <c r="L8" s="520"/>
      <c r="M8" s="513"/>
      <c r="N8" s="513">
        <v>475</v>
      </c>
      <c r="O8" s="513"/>
      <c r="P8" s="513"/>
      <c r="Q8" s="513">
        <v>1257.6</v>
      </c>
      <c r="R8" s="513"/>
      <c r="S8" s="513"/>
      <c r="T8" s="513">
        <v>510.1</v>
      </c>
      <c r="U8" s="513"/>
      <c r="V8" s="513"/>
      <c r="W8" s="513"/>
      <c r="X8" s="513"/>
      <c r="Y8" s="513">
        <v>2110</v>
      </c>
      <c r="Z8" s="514">
        <v>729.8</v>
      </c>
      <c r="AA8" s="501"/>
      <c r="AB8" s="502">
        <f t="shared" si="2"/>
        <v>6341.3</v>
      </c>
      <c r="AC8" s="503">
        <v>2800</v>
      </c>
      <c r="AD8" s="513">
        <v>8724.2</v>
      </c>
      <c r="AE8" s="513">
        <v>12842.4</v>
      </c>
      <c r="AF8" s="513"/>
      <c r="AG8" s="516"/>
      <c r="AH8" s="513">
        <v>8165.7</v>
      </c>
      <c r="AI8" s="514"/>
      <c r="AJ8" s="514">
        <v>1634</v>
      </c>
      <c r="AK8" s="502">
        <f t="shared" si="3"/>
        <v>34166.3</v>
      </c>
      <c r="AL8" s="507">
        <f t="shared" si="0"/>
        <v>40507.600000000006</v>
      </c>
      <c r="AM8" s="517"/>
      <c r="AN8" s="518"/>
      <c r="AO8" s="519">
        <f t="shared" si="4"/>
        <v>0</v>
      </c>
      <c r="AP8" s="511">
        <f t="shared" si="1"/>
        <v>40507.600000000006</v>
      </c>
    </row>
    <row r="9" spans="1:42" s="273" customFormat="1" ht="18.75" customHeight="1">
      <c r="A9" s="369" t="s">
        <v>103</v>
      </c>
      <c r="B9" s="512"/>
      <c r="C9" s="513"/>
      <c r="D9" s="513"/>
      <c r="E9" s="513"/>
      <c r="F9" s="513"/>
      <c r="G9" s="513"/>
      <c r="H9" s="513"/>
      <c r="I9" s="513"/>
      <c r="J9" s="513"/>
      <c r="K9" s="513"/>
      <c r="L9" s="513"/>
      <c r="M9" s="513"/>
      <c r="N9" s="513"/>
      <c r="O9" s="513">
        <v>13918.3</v>
      </c>
      <c r="P9" s="513"/>
      <c r="Q9" s="513"/>
      <c r="R9" s="513"/>
      <c r="S9" s="513"/>
      <c r="T9" s="513"/>
      <c r="U9" s="513"/>
      <c r="V9" s="513"/>
      <c r="W9" s="513"/>
      <c r="X9" s="513"/>
      <c r="Y9" s="513"/>
      <c r="Z9" s="514"/>
      <c r="AA9" s="501"/>
      <c r="AB9" s="502">
        <f t="shared" si="2"/>
        <v>13918.3</v>
      </c>
      <c r="AC9" s="503"/>
      <c r="AD9" s="513"/>
      <c r="AE9" s="513">
        <v>39405.1</v>
      </c>
      <c r="AF9" s="513"/>
      <c r="AG9" s="516"/>
      <c r="AH9" s="513"/>
      <c r="AI9" s="514"/>
      <c r="AJ9" s="514"/>
      <c r="AK9" s="502">
        <f t="shared" si="3"/>
        <v>39405.1</v>
      </c>
      <c r="AL9" s="507">
        <f t="shared" si="0"/>
        <v>53323.399999999994</v>
      </c>
      <c r="AM9" s="517"/>
      <c r="AN9" s="518"/>
      <c r="AO9" s="519">
        <f t="shared" si="4"/>
        <v>0</v>
      </c>
      <c r="AP9" s="511">
        <f t="shared" si="1"/>
        <v>53323.399999999994</v>
      </c>
    </row>
    <row r="10" spans="1:42" s="273" customFormat="1" ht="18.75" customHeight="1">
      <c r="A10" s="369" t="s">
        <v>107</v>
      </c>
      <c r="B10" s="512"/>
      <c r="C10" s="513"/>
      <c r="D10" s="513"/>
      <c r="E10" s="513"/>
      <c r="F10" s="513"/>
      <c r="G10" s="513"/>
      <c r="H10" s="513"/>
      <c r="I10" s="513"/>
      <c r="J10" s="513"/>
      <c r="K10" s="513"/>
      <c r="L10" s="513"/>
      <c r="M10" s="513"/>
      <c r="N10" s="513"/>
      <c r="O10" s="513"/>
      <c r="P10" s="513"/>
      <c r="Q10" s="513"/>
      <c r="R10" s="513"/>
      <c r="S10" s="513"/>
      <c r="T10" s="513"/>
      <c r="U10" s="513"/>
      <c r="V10" s="513"/>
      <c r="W10" s="513"/>
      <c r="X10" s="513"/>
      <c r="Y10" s="513"/>
      <c r="Z10" s="514"/>
      <c r="AA10" s="501"/>
      <c r="AB10" s="502">
        <f t="shared" si="2"/>
        <v>0</v>
      </c>
      <c r="AC10" s="503"/>
      <c r="AD10" s="513"/>
      <c r="AE10" s="513"/>
      <c r="AF10" s="513"/>
      <c r="AG10" s="516"/>
      <c r="AH10" s="513"/>
      <c r="AI10" s="514"/>
      <c r="AJ10" s="514"/>
      <c r="AK10" s="502">
        <f t="shared" si="3"/>
        <v>0</v>
      </c>
      <c r="AL10" s="507">
        <f t="shared" si="0"/>
        <v>0</v>
      </c>
      <c r="AM10" s="517"/>
      <c r="AN10" s="518"/>
      <c r="AO10" s="519">
        <f t="shared" si="4"/>
        <v>0</v>
      </c>
      <c r="AP10" s="511">
        <f t="shared" si="1"/>
        <v>0</v>
      </c>
    </row>
    <row r="11" spans="1:42" s="273" customFormat="1" ht="18.75" customHeight="1">
      <c r="A11" s="369" t="s">
        <v>235</v>
      </c>
      <c r="B11" s="512"/>
      <c r="C11" s="513"/>
      <c r="D11" s="513"/>
      <c r="E11" s="513"/>
      <c r="F11" s="513"/>
      <c r="G11" s="513"/>
      <c r="H11" s="513"/>
      <c r="I11" s="513"/>
      <c r="J11" s="513"/>
      <c r="K11" s="513"/>
      <c r="L11" s="513"/>
      <c r="M11" s="513">
        <v>3656.1</v>
      </c>
      <c r="N11" s="513"/>
      <c r="O11" s="513"/>
      <c r="P11" s="513"/>
      <c r="Q11" s="513"/>
      <c r="R11" s="513"/>
      <c r="S11" s="513"/>
      <c r="T11" s="513"/>
      <c r="U11" s="513"/>
      <c r="V11" s="513"/>
      <c r="W11" s="513"/>
      <c r="X11" s="513"/>
      <c r="Y11" s="513"/>
      <c r="Z11" s="514"/>
      <c r="AA11" s="501"/>
      <c r="AB11" s="502">
        <f t="shared" si="2"/>
        <v>3656.1</v>
      </c>
      <c r="AC11" s="503"/>
      <c r="AD11" s="513"/>
      <c r="AE11" s="513"/>
      <c r="AF11" s="513"/>
      <c r="AG11" s="516"/>
      <c r="AH11" s="513"/>
      <c r="AI11" s="514"/>
      <c r="AJ11" s="514"/>
      <c r="AK11" s="502">
        <f t="shared" si="3"/>
        <v>0</v>
      </c>
      <c r="AL11" s="507">
        <f t="shared" si="0"/>
        <v>3656.1</v>
      </c>
      <c r="AM11" s="517"/>
      <c r="AN11" s="518"/>
      <c r="AO11" s="519">
        <f t="shared" si="4"/>
        <v>0</v>
      </c>
      <c r="AP11" s="511">
        <f t="shared" si="1"/>
        <v>3656.1</v>
      </c>
    </row>
    <row r="12" spans="1:42" s="273" customFormat="1" ht="18.75" customHeight="1">
      <c r="A12" s="369" t="s">
        <v>129</v>
      </c>
      <c r="B12" s="512"/>
      <c r="C12" s="513"/>
      <c r="D12" s="513"/>
      <c r="E12" s="513"/>
      <c r="F12" s="513"/>
      <c r="G12" s="513"/>
      <c r="H12" s="513"/>
      <c r="I12" s="513"/>
      <c r="J12" s="513"/>
      <c r="K12" s="513"/>
      <c r="L12" s="513"/>
      <c r="M12" s="513"/>
      <c r="N12" s="513"/>
      <c r="O12" s="513"/>
      <c r="P12" s="513"/>
      <c r="Q12" s="513"/>
      <c r="R12" s="513"/>
      <c r="S12" s="513"/>
      <c r="T12" s="513"/>
      <c r="U12" s="513"/>
      <c r="V12" s="513"/>
      <c r="W12" s="513"/>
      <c r="X12" s="513">
        <v>6213</v>
      </c>
      <c r="Y12" s="513"/>
      <c r="Z12" s="514"/>
      <c r="AA12" s="501"/>
      <c r="AB12" s="502">
        <f t="shared" si="2"/>
        <v>6213</v>
      </c>
      <c r="AC12" s="503"/>
      <c r="AD12" s="513"/>
      <c r="AE12" s="513"/>
      <c r="AF12" s="513"/>
      <c r="AG12" s="516"/>
      <c r="AH12" s="513"/>
      <c r="AI12" s="514"/>
      <c r="AJ12" s="514"/>
      <c r="AK12" s="502">
        <f t="shared" si="3"/>
        <v>0</v>
      </c>
      <c r="AL12" s="507">
        <f t="shared" si="0"/>
        <v>6213</v>
      </c>
      <c r="AM12" s="517"/>
      <c r="AN12" s="518"/>
      <c r="AO12" s="519">
        <f t="shared" si="4"/>
        <v>0</v>
      </c>
      <c r="AP12" s="511">
        <f t="shared" si="1"/>
        <v>6213</v>
      </c>
    </row>
    <row r="13" spans="1:42" s="273" customFormat="1" ht="18.75" customHeight="1">
      <c r="A13" s="369" t="s">
        <v>101</v>
      </c>
      <c r="B13" s="512">
        <v>72021.9</v>
      </c>
      <c r="C13" s="513">
        <v>2181</v>
      </c>
      <c r="D13" s="513">
        <v>746.8</v>
      </c>
      <c r="E13" s="513">
        <v>1925.2</v>
      </c>
      <c r="F13" s="513">
        <v>1194</v>
      </c>
      <c r="G13" s="513">
        <v>134</v>
      </c>
      <c r="H13" s="513"/>
      <c r="I13" s="513"/>
      <c r="J13" s="513"/>
      <c r="K13" s="513">
        <v>80</v>
      </c>
      <c r="L13" s="513"/>
      <c r="M13" s="513"/>
      <c r="N13" s="513">
        <v>7.2</v>
      </c>
      <c r="O13" s="513"/>
      <c r="P13" s="513">
        <v>1130</v>
      </c>
      <c r="Q13" s="513">
        <v>1180.8</v>
      </c>
      <c r="R13" s="513">
        <v>300</v>
      </c>
      <c r="S13" s="513">
        <v>40238.4</v>
      </c>
      <c r="T13" s="513">
        <v>1966.8</v>
      </c>
      <c r="U13" s="513"/>
      <c r="V13" s="513"/>
      <c r="W13" s="498"/>
      <c r="X13" s="498">
        <v>2182.6</v>
      </c>
      <c r="Y13" s="498"/>
      <c r="Z13" s="514">
        <v>4140.3</v>
      </c>
      <c r="AA13" s="501"/>
      <c r="AB13" s="502">
        <f t="shared" si="2"/>
        <v>129429</v>
      </c>
      <c r="AC13" s="503"/>
      <c r="AD13" s="513"/>
      <c r="AE13" s="513"/>
      <c r="AF13" s="513"/>
      <c r="AG13" s="516"/>
      <c r="AH13" s="513">
        <v>4698</v>
      </c>
      <c r="AI13" s="514"/>
      <c r="AJ13" s="514"/>
      <c r="AK13" s="502">
        <f t="shared" si="3"/>
        <v>4698</v>
      </c>
      <c r="AL13" s="507">
        <f t="shared" si="0"/>
        <v>134127</v>
      </c>
      <c r="AM13" s="517"/>
      <c r="AN13" s="518"/>
      <c r="AO13" s="519">
        <f t="shared" si="4"/>
        <v>0</v>
      </c>
      <c r="AP13" s="511">
        <f aca="true" t="shared" si="5" ref="AP13:AP44">AL13+AO13</f>
        <v>134127</v>
      </c>
    </row>
    <row r="14" spans="1:42" s="273" customFormat="1" ht="18.75" customHeight="1">
      <c r="A14" s="369" t="s">
        <v>100</v>
      </c>
      <c r="B14" s="512"/>
      <c r="C14" s="513"/>
      <c r="D14" s="513"/>
      <c r="E14" s="513"/>
      <c r="F14" s="513"/>
      <c r="G14" s="513"/>
      <c r="H14" s="513"/>
      <c r="I14" s="513"/>
      <c r="J14" s="513"/>
      <c r="K14" s="513"/>
      <c r="L14" s="513"/>
      <c r="M14" s="513"/>
      <c r="N14" s="513"/>
      <c r="O14" s="513"/>
      <c r="P14" s="513"/>
      <c r="Q14" s="513"/>
      <c r="R14" s="513"/>
      <c r="S14" s="513"/>
      <c r="T14" s="513"/>
      <c r="U14" s="513"/>
      <c r="V14" s="513"/>
      <c r="W14" s="513"/>
      <c r="X14" s="513"/>
      <c r="Y14" s="513"/>
      <c r="Z14" s="514"/>
      <c r="AA14" s="501"/>
      <c r="AB14" s="502">
        <f t="shared" si="2"/>
        <v>0</v>
      </c>
      <c r="AC14" s="503"/>
      <c r="AD14" s="513"/>
      <c r="AE14" s="513"/>
      <c r="AF14" s="513"/>
      <c r="AG14" s="516"/>
      <c r="AH14" s="513"/>
      <c r="AI14" s="514"/>
      <c r="AJ14" s="514"/>
      <c r="AK14" s="502">
        <f t="shared" si="3"/>
        <v>0</v>
      </c>
      <c r="AL14" s="507">
        <f t="shared" si="0"/>
        <v>0</v>
      </c>
      <c r="AM14" s="517"/>
      <c r="AN14" s="518"/>
      <c r="AO14" s="519">
        <f t="shared" si="4"/>
        <v>0</v>
      </c>
      <c r="AP14" s="511">
        <f t="shared" si="5"/>
        <v>0</v>
      </c>
    </row>
    <row r="15" spans="1:42" s="273" customFormat="1" ht="18.75" customHeight="1">
      <c r="A15" s="369" t="s">
        <v>99</v>
      </c>
      <c r="B15" s="512"/>
      <c r="C15" s="513"/>
      <c r="D15" s="513"/>
      <c r="E15" s="513"/>
      <c r="F15" s="513"/>
      <c r="G15" s="513"/>
      <c r="H15" s="513"/>
      <c r="I15" s="513"/>
      <c r="J15" s="513"/>
      <c r="K15" s="513"/>
      <c r="L15" s="513"/>
      <c r="M15" s="513"/>
      <c r="N15" s="513"/>
      <c r="O15" s="513"/>
      <c r="P15" s="513"/>
      <c r="Q15" s="513"/>
      <c r="R15" s="513"/>
      <c r="S15" s="513"/>
      <c r="T15" s="513"/>
      <c r="U15" s="516"/>
      <c r="V15" s="513"/>
      <c r="W15" s="513"/>
      <c r="X15" s="513"/>
      <c r="Y15" s="513"/>
      <c r="Z15" s="514"/>
      <c r="AA15" s="501"/>
      <c r="AB15" s="502">
        <f t="shared" si="2"/>
        <v>0</v>
      </c>
      <c r="AC15" s="503"/>
      <c r="AD15" s="513"/>
      <c r="AE15" s="513"/>
      <c r="AF15" s="513"/>
      <c r="AG15" s="516"/>
      <c r="AH15" s="513"/>
      <c r="AI15" s="514"/>
      <c r="AJ15" s="514"/>
      <c r="AK15" s="502">
        <f t="shared" si="3"/>
        <v>0</v>
      </c>
      <c r="AL15" s="507">
        <f t="shared" si="0"/>
        <v>0</v>
      </c>
      <c r="AM15" s="517"/>
      <c r="AN15" s="518"/>
      <c r="AO15" s="519">
        <f t="shared" si="4"/>
        <v>0</v>
      </c>
      <c r="AP15" s="511">
        <f t="shared" si="5"/>
        <v>0</v>
      </c>
    </row>
    <row r="16" spans="1:42" s="273" customFormat="1" ht="20.25" customHeight="1" hidden="1">
      <c r="A16" s="369" t="s">
        <v>102</v>
      </c>
      <c r="B16" s="512"/>
      <c r="C16" s="513"/>
      <c r="D16" s="513"/>
      <c r="E16" s="513"/>
      <c r="F16" s="513"/>
      <c r="G16" s="513"/>
      <c r="H16" s="513"/>
      <c r="I16" s="513"/>
      <c r="J16" s="513"/>
      <c r="K16" s="513"/>
      <c r="L16" s="513"/>
      <c r="M16" s="513"/>
      <c r="N16" s="513"/>
      <c r="O16" s="513"/>
      <c r="P16" s="513"/>
      <c r="Q16" s="513"/>
      <c r="R16" s="513"/>
      <c r="S16" s="513"/>
      <c r="T16" s="513"/>
      <c r="U16" s="513"/>
      <c r="V16" s="513"/>
      <c r="W16" s="513"/>
      <c r="X16" s="513"/>
      <c r="Y16" s="513"/>
      <c r="Z16" s="514"/>
      <c r="AA16" s="501"/>
      <c r="AB16" s="502">
        <f t="shared" si="2"/>
        <v>0</v>
      </c>
      <c r="AC16" s="503"/>
      <c r="AD16" s="513"/>
      <c r="AE16" s="513"/>
      <c r="AF16" s="513"/>
      <c r="AG16" s="516"/>
      <c r="AH16" s="513"/>
      <c r="AI16" s="514"/>
      <c r="AJ16" s="514"/>
      <c r="AK16" s="502">
        <f t="shared" si="3"/>
        <v>0</v>
      </c>
      <c r="AL16" s="507">
        <f t="shared" si="0"/>
        <v>0</v>
      </c>
      <c r="AM16" s="517"/>
      <c r="AN16" s="518"/>
      <c r="AO16" s="519">
        <f t="shared" si="4"/>
        <v>0</v>
      </c>
      <c r="AP16" s="511">
        <f t="shared" si="5"/>
        <v>0</v>
      </c>
    </row>
    <row r="17" spans="1:44" s="273" customFormat="1" ht="18.75" customHeight="1">
      <c r="A17" s="369" t="s">
        <v>83</v>
      </c>
      <c r="B17" s="512">
        <v>3847.3</v>
      </c>
      <c r="C17" s="513"/>
      <c r="D17" s="513"/>
      <c r="E17" s="513"/>
      <c r="F17" s="513">
        <v>-0.5</v>
      </c>
      <c r="G17" s="513"/>
      <c r="H17" s="513"/>
      <c r="I17" s="513"/>
      <c r="J17" s="513"/>
      <c r="K17" s="513"/>
      <c r="L17" s="513"/>
      <c r="M17" s="513"/>
      <c r="N17" s="513"/>
      <c r="O17" s="513"/>
      <c r="P17" s="513"/>
      <c r="Q17" s="513"/>
      <c r="R17" s="513"/>
      <c r="S17" s="513"/>
      <c r="T17" s="513"/>
      <c r="U17" s="513">
        <v>-125</v>
      </c>
      <c r="V17" s="513"/>
      <c r="W17" s="513"/>
      <c r="X17" s="513"/>
      <c r="Y17" s="513"/>
      <c r="Z17" s="514"/>
      <c r="AA17" s="521"/>
      <c r="AB17" s="502">
        <f t="shared" si="2"/>
        <v>3721.8</v>
      </c>
      <c r="AC17" s="503"/>
      <c r="AD17" s="513"/>
      <c r="AE17" s="520"/>
      <c r="AF17" s="513"/>
      <c r="AG17" s="516"/>
      <c r="AH17" s="513"/>
      <c r="AI17" s="514"/>
      <c r="AJ17" s="514"/>
      <c r="AK17" s="502">
        <f t="shared" si="3"/>
        <v>0</v>
      </c>
      <c r="AL17" s="522">
        <f t="shared" si="0"/>
        <v>3721.8</v>
      </c>
      <c r="AM17" s="517"/>
      <c r="AN17" s="518"/>
      <c r="AO17" s="519">
        <f t="shared" si="4"/>
        <v>0</v>
      </c>
      <c r="AP17" s="511">
        <f t="shared" si="5"/>
        <v>3721.8</v>
      </c>
      <c r="AR17" s="273" t="s">
        <v>186</v>
      </c>
    </row>
    <row r="18" spans="1:42" s="273" customFormat="1" ht="18.75" customHeight="1">
      <c r="A18" s="369" t="s">
        <v>157</v>
      </c>
      <c r="B18" s="512"/>
      <c r="C18" s="513"/>
      <c r="D18" s="513"/>
      <c r="E18" s="513"/>
      <c r="F18" s="513"/>
      <c r="G18" s="513"/>
      <c r="H18" s="513"/>
      <c r="I18" s="513"/>
      <c r="J18" s="513"/>
      <c r="K18" s="513"/>
      <c r="L18" s="513"/>
      <c r="M18" s="513"/>
      <c r="N18" s="513"/>
      <c r="O18" s="513"/>
      <c r="P18" s="513"/>
      <c r="Q18" s="513"/>
      <c r="R18" s="513"/>
      <c r="S18" s="513"/>
      <c r="T18" s="513"/>
      <c r="U18" s="516"/>
      <c r="V18" s="513"/>
      <c r="W18" s="513"/>
      <c r="X18" s="513"/>
      <c r="Y18" s="513"/>
      <c r="Z18" s="514"/>
      <c r="AA18" s="521"/>
      <c r="AB18" s="502">
        <f t="shared" si="2"/>
        <v>0</v>
      </c>
      <c r="AC18" s="503"/>
      <c r="AD18" s="513"/>
      <c r="AE18" s="513"/>
      <c r="AF18" s="513"/>
      <c r="AG18" s="516"/>
      <c r="AH18" s="513"/>
      <c r="AI18" s="514"/>
      <c r="AJ18" s="514"/>
      <c r="AK18" s="502">
        <f t="shared" si="3"/>
        <v>0</v>
      </c>
      <c r="AL18" s="522">
        <f t="shared" si="0"/>
        <v>0</v>
      </c>
      <c r="AM18" s="517">
        <v>-5029.3</v>
      </c>
      <c r="AN18" s="518">
        <v>-1075.4</v>
      </c>
      <c r="AO18" s="519">
        <f t="shared" si="4"/>
        <v>-6104.700000000001</v>
      </c>
      <c r="AP18" s="511">
        <f t="shared" si="5"/>
        <v>-6104.700000000001</v>
      </c>
    </row>
    <row r="19" spans="1:42" s="273" customFormat="1" ht="18.75" customHeight="1" thickBot="1">
      <c r="A19" s="370" t="s">
        <v>156</v>
      </c>
      <c r="B19" s="523"/>
      <c r="C19" s="524"/>
      <c r="D19" s="524"/>
      <c r="E19" s="524"/>
      <c r="F19" s="524"/>
      <c r="G19" s="524"/>
      <c r="H19" s="524"/>
      <c r="I19" s="524"/>
      <c r="J19" s="524"/>
      <c r="K19" s="524"/>
      <c r="L19" s="524"/>
      <c r="M19" s="524"/>
      <c r="N19" s="524"/>
      <c r="O19" s="524"/>
      <c r="P19" s="524"/>
      <c r="Q19" s="524"/>
      <c r="R19" s="524"/>
      <c r="S19" s="524"/>
      <c r="T19" s="524"/>
      <c r="U19" s="525"/>
      <c r="V19" s="524"/>
      <c r="W19" s="524"/>
      <c r="X19" s="524"/>
      <c r="Y19" s="524"/>
      <c r="Z19" s="526"/>
      <c r="AA19" s="527"/>
      <c r="AB19" s="502">
        <f t="shared" si="2"/>
        <v>0</v>
      </c>
      <c r="AC19" s="528"/>
      <c r="AD19" s="524"/>
      <c r="AE19" s="524"/>
      <c r="AF19" s="524"/>
      <c r="AG19" s="525"/>
      <c r="AH19" s="524"/>
      <c r="AI19" s="526"/>
      <c r="AJ19" s="526"/>
      <c r="AK19" s="502">
        <f t="shared" si="3"/>
        <v>0</v>
      </c>
      <c r="AL19" s="522">
        <f>SUM(AB19,AK19-AA19)</f>
        <v>0</v>
      </c>
      <c r="AM19" s="517"/>
      <c r="AN19" s="518"/>
      <c r="AO19" s="519">
        <f t="shared" si="4"/>
        <v>0</v>
      </c>
      <c r="AP19" s="529">
        <f t="shared" si="5"/>
        <v>0</v>
      </c>
    </row>
    <row r="20" spans="1:42" s="372" customFormat="1" ht="25.5" customHeight="1" thickBot="1">
      <c r="A20" s="371" t="s">
        <v>126</v>
      </c>
      <c r="B20" s="530">
        <f>B5+B6+B7+B8+B9+B10+B11+B12+B13+B14+B15+B16+B17+B18+B19</f>
        <v>166112.3</v>
      </c>
      <c r="C20" s="531">
        <f aca="true" t="shared" si="6" ref="C20:AP20">C5+C6+C7+C8+C9+C10+C11+C12+C13+C14+C15+C16+C17+C18+C19</f>
        <v>13309.4</v>
      </c>
      <c r="D20" s="531">
        <f t="shared" si="6"/>
        <v>6241.3</v>
      </c>
      <c r="E20" s="531">
        <f t="shared" si="6"/>
        <v>2098.9</v>
      </c>
      <c r="F20" s="531">
        <f t="shared" si="6"/>
        <v>3033.8</v>
      </c>
      <c r="G20" s="531">
        <f t="shared" si="6"/>
        <v>258</v>
      </c>
      <c r="H20" s="531">
        <f>H5+H6+H7+H8+H9+H10+H11+H12+H13+H14+H15+H16+H17+H18+H19</f>
        <v>1236.2</v>
      </c>
      <c r="I20" s="532">
        <f>I5+I6+I7+I8+I9+I10+I11+I12+I13+I14+I15+I16+I17+I18+I19</f>
        <v>0</v>
      </c>
      <c r="J20" s="531">
        <f>J5+J6+J7+J8+J9+J10+J11+J12+J13+J14+J15+J16+J17+J18+J19</f>
        <v>779.6</v>
      </c>
      <c r="K20" s="531">
        <f t="shared" si="6"/>
        <v>245</v>
      </c>
      <c r="L20" s="531">
        <f t="shared" si="6"/>
        <v>846.8</v>
      </c>
      <c r="M20" s="531">
        <f t="shared" si="6"/>
        <v>3656.1</v>
      </c>
      <c r="N20" s="531">
        <f t="shared" si="6"/>
        <v>4121.599999999999</v>
      </c>
      <c r="O20" s="531">
        <f t="shared" si="6"/>
        <v>13918.3</v>
      </c>
      <c r="P20" s="532">
        <f t="shared" si="6"/>
        <v>1660</v>
      </c>
      <c r="Q20" s="531">
        <f t="shared" si="6"/>
        <v>4055.8</v>
      </c>
      <c r="R20" s="532">
        <f t="shared" si="6"/>
        <v>300</v>
      </c>
      <c r="S20" s="531">
        <f t="shared" si="6"/>
        <v>41741.9</v>
      </c>
      <c r="T20" s="532">
        <f t="shared" si="6"/>
        <v>3095.3</v>
      </c>
      <c r="U20" s="532">
        <f t="shared" si="6"/>
        <v>-125</v>
      </c>
      <c r="V20" s="532">
        <f t="shared" si="6"/>
        <v>0</v>
      </c>
      <c r="W20" s="532">
        <f t="shared" si="6"/>
        <v>0</v>
      </c>
      <c r="X20" s="531">
        <f t="shared" si="6"/>
        <v>8395.6</v>
      </c>
      <c r="Y20" s="532">
        <f t="shared" si="6"/>
        <v>2110</v>
      </c>
      <c r="Z20" s="564">
        <f t="shared" si="6"/>
        <v>4923.7</v>
      </c>
      <c r="AA20" s="533">
        <f t="shared" si="6"/>
        <v>0</v>
      </c>
      <c r="AB20" s="534">
        <f t="shared" si="6"/>
        <v>282014.6</v>
      </c>
      <c r="AC20" s="535">
        <f t="shared" si="6"/>
        <v>2800</v>
      </c>
      <c r="AD20" s="531">
        <f t="shared" si="6"/>
        <v>8724.2</v>
      </c>
      <c r="AE20" s="531">
        <f t="shared" si="6"/>
        <v>52247.5</v>
      </c>
      <c r="AF20" s="531">
        <f t="shared" si="6"/>
        <v>4300</v>
      </c>
      <c r="AG20" s="532">
        <f t="shared" si="6"/>
        <v>238</v>
      </c>
      <c r="AH20" s="531">
        <f t="shared" si="6"/>
        <v>12863.7</v>
      </c>
      <c r="AI20" s="531">
        <f t="shared" si="6"/>
        <v>0</v>
      </c>
      <c r="AJ20" s="555">
        <f t="shared" si="6"/>
        <v>1634</v>
      </c>
      <c r="AK20" s="534">
        <f t="shared" si="6"/>
        <v>82807.4</v>
      </c>
      <c r="AL20" s="535">
        <f t="shared" si="6"/>
        <v>364821.99999999994</v>
      </c>
      <c r="AM20" s="531">
        <f t="shared" si="6"/>
        <v>-5029.3</v>
      </c>
      <c r="AN20" s="541">
        <f t="shared" si="6"/>
        <v>-1075.4</v>
      </c>
      <c r="AO20" s="536">
        <f t="shared" si="6"/>
        <v>-6104.700000000001</v>
      </c>
      <c r="AP20" s="534">
        <f t="shared" si="6"/>
        <v>358717.29999999993</v>
      </c>
    </row>
    <row r="21" spans="1:42" s="273" customFormat="1" ht="17.25" customHeight="1">
      <c r="A21" s="373" t="s">
        <v>136</v>
      </c>
      <c r="B21" s="497"/>
      <c r="C21" s="498"/>
      <c r="D21" s="498"/>
      <c r="E21" s="498"/>
      <c r="F21" s="498"/>
      <c r="G21" s="498"/>
      <c r="H21" s="498"/>
      <c r="I21" s="498"/>
      <c r="J21" s="498"/>
      <c r="K21" s="498"/>
      <c r="L21" s="498"/>
      <c r="M21" s="498"/>
      <c r="N21" s="498"/>
      <c r="O21" s="498"/>
      <c r="P21" s="498"/>
      <c r="Q21" s="498"/>
      <c r="R21" s="498"/>
      <c r="S21" s="498"/>
      <c r="T21" s="498"/>
      <c r="U21" s="498"/>
      <c r="V21" s="498">
        <f>'hoaki dram19'!E6</f>
        <v>24110.3</v>
      </c>
      <c r="W21" s="498"/>
      <c r="X21" s="498"/>
      <c r="Y21" s="498"/>
      <c r="Z21" s="506"/>
      <c r="AA21" s="501"/>
      <c r="AB21" s="502">
        <f aca="true" t="shared" si="7" ref="AB21:AB44">SUM(B21:Z21)</f>
        <v>24110.3</v>
      </c>
      <c r="AC21" s="503"/>
      <c r="AD21" s="498"/>
      <c r="AE21" s="498"/>
      <c r="AF21" s="498"/>
      <c r="AG21" s="498"/>
      <c r="AH21" s="498"/>
      <c r="AI21" s="506"/>
      <c r="AJ21" s="506"/>
      <c r="AK21" s="502">
        <f aca="true" t="shared" si="8" ref="AK21:AK32">SUM(AC21+AD21+AE21+AF21+AG21+AH21+AJ21)</f>
        <v>0</v>
      </c>
      <c r="AL21" s="507">
        <f aca="true" t="shared" si="9" ref="AL21:AL32">SUM(AB21,AK21)</f>
        <v>24110.3</v>
      </c>
      <c r="AM21" s="517"/>
      <c r="AN21" s="518"/>
      <c r="AO21" s="519">
        <f t="shared" si="4"/>
        <v>0</v>
      </c>
      <c r="AP21" s="537">
        <f t="shared" si="5"/>
        <v>24110.3</v>
      </c>
    </row>
    <row r="22" spans="1:42" s="273" customFormat="1" ht="17.25" customHeight="1">
      <c r="A22" s="373" t="s">
        <v>135</v>
      </c>
      <c r="B22" s="512"/>
      <c r="C22" s="513"/>
      <c r="D22" s="513"/>
      <c r="E22" s="513"/>
      <c r="F22" s="513"/>
      <c r="G22" s="513"/>
      <c r="H22" s="513"/>
      <c r="I22" s="513"/>
      <c r="J22" s="513"/>
      <c r="K22" s="513"/>
      <c r="L22" s="513"/>
      <c r="M22" s="513"/>
      <c r="N22" s="513"/>
      <c r="O22" s="513"/>
      <c r="P22" s="513"/>
      <c r="Q22" s="513"/>
      <c r="R22" s="513"/>
      <c r="S22" s="513"/>
      <c r="T22" s="513"/>
      <c r="U22" s="513"/>
      <c r="V22" s="498">
        <f>'hoaki dram19'!E7</f>
        <v>18646</v>
      </c>
      <c r="W22" s="513"/>
      <c r="X22" s="513"/>
      <c r="Y22" s="513"/>
      <c r="Z22" s="514"/>
      <c r="AA22" s="501"/>
      <c r="AB22" s="502">
        <f t="shared" si="7"/>
        <v>18646</v>
      </c>
      <c r="AC22" s="503"/>
      <c r="AD22" s="513"/>
      <c r="AE22" s="513"/>
      <c r="AF22" s="513"/>
      <c r="AG22" s="513"/>
      <c r="AH22" s="513"/>
      <c r="AI22" s="514"/>
      <c r="AJ22" s="514"/>
      <c r="AK22" s="502">
        <f t="shared" si="8"/>
        <v>0</v>
      </c>
      <c r="AL22" s="507">
        <f t="shared" si="9"/>
        <v>18646</v>
      </c>
      <c r="AM22" s="517"/>
      <c r="AN22" s="518"/>
      <c r="AO22" s="519">
        <f t="shared" si="4"/>
        <v>0</v>
      </c>
      <c r="AP22" s="511">
        <f t="shared" si="5"/>
        <v>18646</v>
      </c>
    </row>
    <row r="23" spans="1:42" s="273" customFormat="1" ht="17.25" customHeight="1">
      <c r="A23" s="373" t="s">
        <v>134</v>
      </c>
      <c r="B23" s="512"/>
      <c r="C23" s="513"/>
      <c r="D23" s="513"/>
      <c r="E23" s="513"/>
      <c r="F23" s="513"/>
      <c r="G23" s="513"/>
      <c r="H23" s="513"/>
      <c r="I23" s="513"/>
      <c r="J23" s="513"/>
      <c r="K23" s="513"/>
      <c r="L23" s="513"/>
      <c r="M23" s="513"/>
      <c r="N23" s="513"/>
      <c r="O23" s="513"/>
      <c r="P23" s="513"/>
      <c r="Q23" s="513"/>
      <c r="R23" s="513"/>
      <c r="S23" s="513"/>
      <c r="T23" s="513"/>
      <c r="U23" s="513"/>
      <c r="V23" s="498">
        <f>'hoaki dram19'!E8</f>
        <v>19323.5</v>
      </c>
      <c r="W23" s="513"/>
      <c r="X23" s="513"/>
      <c r="Y23" s="513"/>
      <c r="Z23" s="514"/>
      <c r="AA23" s="501"/>
      <c r="AB23" s="502">
        <f t="shared" si="7"/>
        <v>19323.5</v>
      </c>
      <c r="AC23" s="503"/>
      <c r="AD23" s="513"/>
      <c r="AE23" s="513"/>
      <c r="AF23" s="513"/>
      <c r="AG23" s="513"/>
      <c r="AH23" s="513"/>
      <c r="AI23" s="514"/>
      <c r="AJ23" s="514"/>
      <c r="AK23" s="502">
        <f t="shared" si="8"/>
        <v>0</v>
      </c>
      <c r="AL23" s="507">
        <f t="shared" si="9"/>
        <v>19323.5</v>
      </c>
      <c r="AM23" s="517"/>
      <c r="AN23" s="518"/>
      <c r="AO23" s="519">
        <f t="shared" si="4"/>
        <v>0</v>
      </c>
      <c r="AP23" s="511">
        <f t="shared" si="5"/>
        <v>19323.5</v>
      </c>
    </row>
    <row r="24" spans="1:42" s="273" customFormat="1" ht="17.25" customHeight="1">
      <c r="A24" s="373" t="s">
        <v>133</v>
      </c>
      <c r="B24" s="512"/>
      <c r="C24" s="513"/>
      <c r="D24" s="513"/>
      <c r="E24" s="513"/>
      <c r="F24" s="513"/>
      <c r="G24" s="513"/>
      <c r="H24" s="513"/>
      <c r="I24" s="513"/>
      <c r="J24" s="513"/>
      <c r="K24" s="513"/>
      <c r="L24" s="513"/>
      <c r="M24" s="513"/>
      <c r="N24" s="513"/>
      <c r="O24" s="513"/>
      <c r="P24" s="513"/>
      <c r="Q24" s="513"/>
      <c r="R24" s="513"/>
      <c r="S24" s="513"/>
      <c r="T24" s="513"/>
      <c r="U24" s="513"/>
      <c r="V24" s="498">
        <f>'hoaki dram19'!E9</f>
        <v>31959.3</v>
      </c>
      <c r="W24" s="513"/>
      <c r="X24" s="513"/>
      <c r="Y24" s="513"/>
      <c r="Z24" s="514"/>
      <c r="AA24" s="501"/>
      <c r="AB24" s="502">
        <f t="shared" si="7"/>
        <v>31959.3</v>
      </c>
      <c r="AC24" s="503"/>
      <c r="AD24" s="513"/>
      <c r="AE24" s="513"/>
      <c r="AF24" s="513"/>
      <c r="AG24" s="513"/>
      <c r="AH24" s="513"/>
      <c r="AI24" s="514"/>
      <c r="AJ24" s="514"/>
      <c r="AK24" s="502">
        <f t="shared" si="8"/>
        <v>0</v>
      </c>
      <c r="AL24" s="507">
        <f t="shared" si="9"/>
        <v>31959.3</v>
      </c>
      <c r="AM24" s="517"/>
      <c r="AN24" s="518"/>
      <c r="AO24" s="519">
        <f t="shared" si="4"/>
        <v>0</v>
      </c>
      <c r="AP24" s="511">
        <f t="shared" si="5"/>
        <v>31959.3</v>
      </c>
    </row>
    <row r="25" spans="1:42" s="273" customFormat="1" ht="17.25" customHeight="1">
      <c r="A25" s="373" t="s">
        <v>132</v>
      </c>
      <c r="B25" s="512"/>
      <c r="C25" s="513"/>
      <c r="D25" s="513"/>
      <c r="E25" s="513"/>
      <c r="F25" s="513"/>
      <c r="G25" s="513"/>
      <c r="H25" s="513"/>
      <c r="I25" s="513"/>
      <c r="J25" s="513"/>
      <c r="K25" s="513"/>
      <c r="L25" s="513"/>
      <c r="M25" s="513"/>
      <c r="N25" s="513"/>
      <c r="O25" s="513"/>
      <c r="P25" s="513"/>
      <c r="Q25" s="513"/>
      <c r="R25" s="513"/>
      <c r="S25" s="513"/>
      <c r="T25" s="513"/>
      <c r="U25" s="513"/>
      <c r="V25" s="498">
        <f>'hoaki dram19'!E10</f>
        <v>19020.2</v>
      </c>
      <c r="W25" s="513"/>
      <c r="X25" s="513"/>
      <c r="Y25" s="513"/>
      <c r="Z25" s="514"/>
      <c r="AA25" s="501"/>
      <c r="AB25" s="502">
        <f t="shared" si="7"/>
        <v>19020.2</v>
      </c>
      <c r="AC25" s="503"/>
      <c r="AD25" s="513"/>
      <c r="AE25" s="513"/>
      <c r="AF25" s="513"/>
      <c r="AG25" s="513"/>
      <c r="AH25" s="513"/>
      <c r="AI25" s="514"/>
      <c r="AJ25" s="514"/>
      <c r="AK25" s="502">
        <f t="shared" si="8"/>
        <v>0</v>
      </c>
      <c r="AL25" s="507">
        <f t="shared" si="9"/>
        <v>19020.2</v>
      </c>
      <c r="AM25" s="517"/>
      <c r="AN25" s="518"/>
      <c r="AO25" s="519">
        <f t="shared" si="4"/>
        <v>0</v>
      </c>
      <c r="AP25" s="511">
        <f t="shared" si="5"/>
        <v>19020.2</v>
      </c>
    </row>
    <row r="26" spans="1:42" s="273" customFormat="1" ht="17.25" customHeight="1">
      <c r="A26" s="373" t="s">
        <v>137</v>
      </c>
      <c r="B26" s="512"/>
      <c r="C26" s="513"/>
      <c r="D26" s="513"/>
      <c r="E26" s="513"/>
      <c r="F26" s="513"/>
      <c r="G26" s="513"/>
      <c r="H26" s="513"/>
      <c r="I26" s="513"/>
      <c r="J26" s="513"/>
      <c r="K26" s="513"/>
      <c r="L26" s="513"/>
      <c r="M26" s="513"/>
      <c r="N26" s="513"/>
      <c r="O26" s="513"/>
      <c r="P26" s="513"/>
      <c r="Q26" s="513"/>
      <c r="R26" s="513"/>
      <c r="S26" s="513"/>
      <c r="T26" s="513"/>
      <c r="U26" s="513"/>
      <c r="V26" s="498">
        <f>'hoaki dram19'!E11</f>
        <v>24319.3</v>
      </c>
      <c r="W26" s="513"/>
      <c r="X26" s="513"/>
      <c r="Y26" s="513"/>
      <c r="Z26" s="514"/>
      <c r="AA26" s="501"/>
      <c r="AB26" s="502">
        <f t="shared" si="7"/>
        <v>24319.3</v>
      </c>
      <c r="AC26" s="503"/>
      <c r="AD26" s="513"/>
      <c r="AE26" s="513"/>
      <c r="AF26" s="513"/>
      <c r="AG26" s="513"/>
      <c r="AH26" s="513"/>
      <c r="AI26" s="514"/>
      <c r="AJ26" s="514"/>
      <c r="AK26" s="502">
        <f t="shared" si="8"/>
        <v>0</v>
      </c>
      <c r="AL26" s="507">
        <f t="shared" si="9"/>
        <v>24319.3</v>
      </c>
      <c r="AM26" s="517"/>
      <c r="AN26" s="518"/>
      <c r="AO26" s="519">
        <f t="shared" si="4"/>
        <v>0</v>
      </c>
      <c r="AP26" s="511">
        <f t="shared" si="5"/>
        <v>24319.3</v>
      </c>
    </row>
    <row r="27" spans="1:42" s="273" customFormat="1" ht="17.25" customHeight="1">
      <c r="A27" s="373" t="s">
        <v>138</v>
      </c>
      <c r="B27" s="512"/>
      <c r="C27" s="513"/>
      <c r="D27" s="513"/>
      <c r="E27" s="513"/>
      <c r="F27" s="513"/>
      <c r="G27" s="513"/>
      <c r="H27" s="513"/>
      <c r="I27" s="513"/>
      <c r="J27" s="513"/>
      <c r="K27" s="513"/>
      <c r="L27" s="513"/>
      <c r="M27" s="513"/>
      <c r="N27" s="513"/>
      <c r="O27" s="513"/>
      <c r="P27" s="513"/>
      <c r="Q27" s="513"/>
      <c r="R27" s="513"/>
      <c r="S27" s="513"/>
      <c r="T27" s="513"/>
      <c r="U27" s="513"/>
      <c r="V27" s="498">
        <f>'hoaki dram19'!E12</f>
        <v>24728.8</v>
      </c>
      <c r="W27" s="513"/>
      <c r="X27" s="513"/>
      <c r="Y27" s="513"/>
      <c r="Z27" s="514"/>
      <c r="AA27" s="501"/>
      <c r="AB27" s="502">
        <f t="shared" si="7"/>
        <v>24728.8</v>
      </c>
      <c r="AC27" s="503"/>
      <c r="AD27" s="513"/>
      <c r="AE27" s="513"/>
      <c r="AF27" s="513"/>
      <c r="AG27" s="513"/>
      <c r="AH27" s="513"/>
      <c r="AI27" s="514"/>
      <c r="AJ27" s="514"/>
      <c r="AK27" s="502">
        <f t="shared" si="8"/>
        <v>0</v>
      </c>
      <c r="AL27" s="507">
        <f t="shared" si="9"/>
        <v>24728.8</v>
      </c>
      <c r="AM27" s="517"/>
      <c r="AN27" s="518"/>
      <c r="AO27" s="519">
        <f t="shared" si="4"/>
        <v>0</v>
      </c>
      <c r="AP27" s="511">
        <f t="shared" si="5"/>
        <v>24728.8</v>
      </c>
    </row>
    <row r="28" spans="1:42" s="273" customFormat="1" ht="17.25" customHeight="1">
      <c r="A28" s="373" t="s">
        <v>139</v>
      </c>
      <c r="B28" s="512"/>
      <c r="C28" s="513"/>
      <c r="D28" s="513"/>
      <c r="E28" s="513"/>
      <c r="F28" s="513"/>
      <c r="G28" s="513"/>
      <c r="H28" s="513"/>
      <c r="I28" s="513"/>
      <c r="J28" s="513"/>
      <c r="K28" s="513"/>
      <c r="L28" s="513"/>
      <c r="M28" s="513"/>
      <c r="N28" s="513"/>
      <c r="O28" s="513"/>
      <c r="P28" s="513"/>
      <c r="Q28" s="513"/>
      <c r="R28" s="513"/>
      <c r="S28" s="513"/>
      <c r="T28" s="513"/>
      <c r="U28" s="513"/>
      <c r="V28" s="498">
        <f>'hoaki dram19'!E13</f>
        <v>32273.6</v>
      </c>
      <c r="W28" s="513"/>
      <c r="X28" s="513"/>
      <c r="Y28" s="513"/>
      <c r="Z28" s="514"/>
      <c r="AA28" s="501"/>
      <c r="AB28" s="502">
        <f t="shared" si="7"/>
        <v>32273.6</v>
      </c>
      <c r="AC28" s="503"/>
      <c r="AD28" s="513"/>
      <c r="AE28" s="513"/>
      <c r="AF28" s="513"/>
      <c r="AG28" s="513"/>
      <c r="AH28" s="513"/>
      <c r="AI28" s="514"/>
      <c r="AJ28" s="514"/>
      <c r="AK28" s="502">
        <f t="shared" si="8"/>
        <v>0</v>
      </c>
      <c r="AL28" s="507">
        <f t="shared" si="9"/>
        <v>32273.6</v>
      </c>
      <c r="AM28" s="517"/>
      <c r="AN28" s="518"/>
      <c r="AO28" s="519">
        <f t="shared" si="4"/>
        <v>0</v>
      </c>
      <c r="AP28" s="511">
        <f t="shared" si="5"/>
        <v>32273.6</v>
      </c>
    </row>
    <row r="29" spans="1:42" s="273" customFormat="1" ht="17.25" customHeight="1">
      <c r="A29" s="373" t="s">
        <v>140</v>
      </c>
      <c r="B29" s="512"/>
      <c r="C29" s="513"/>
      <c r="D29" s="513"/>
      <c r="E29" s="513"/>
      <c r="F29" s="513"/>
      <c r="G29" s="513"/>
      <c r="H29" s="513"/>
      <c r="I29" s="513"/>
      <c r="J29" s="513"/>
      <c r="K29" s="513"/>
      <c r="L29" s="513"/>
      <c r="M29" s="513"/>
      <c r="N29" s="513"/>
      <c r="O29" s="513"/>
      <c r="P29" s="513"/>
      <c r="Q29" s="513"/>
      <c r="R29" s="513"/>
      <c r="S29" s="513"/>
      <c r="T29" s="513"/>
      <c r="U29" s="513"/>
      <c r="V29" s="498">
        <f>'hoaki dram19'!E14</f>
        <v>29593.2</v>
      </c>
      <c r="W29" s="513"/>
      <c r="X29" s="513"/>
      <c r="Y29" s="513"/>
      <c r="Z29" s="514"/>
      <c r="AA29" s="501"/>
      <c r="AB29" s="502">
        <f t="shared" si="7"/>
        <v>29593.2</v>
      </c>
      <c r="AC29" s="503"/>
      <c r="AD29" s="513"/>
      <c r="AE29" s="513"/>
      <c r="AF29" s="513"/>
      <c r="AG29" s="513"/>
      <c r="AH29" s="513"/>
      <c r="AI29" s="514"/>
      <c r="AJ29" s="514"/>
      <c r="AK29" s="502">
        <f t="shared" si="8"/>
        <v>0</v>
      </c>
      <c r="AL29" s="507">
        <f t="shared" si="9"/>
        <v>29593.2</v>
      </c>
      <c r="AM29" s="517"/>
      <c r="AN29" s="518"/>
      <c r="AO29" s="519">
        <f t="shared" si="4"/>
        <v>0</v>
      </c>
      <c r="AP29" s="511">
        <f t="shared" si="5"/>
        <v>29593.2</v>
      </c>
    </row>
    <row r="30" spans="1:42" s="273" customFormat="1" ht="17.25" customHeight="1">
      <c r="A30" s="373" t="s">
        <v>141</v>
      </c>
      <c r="B30" s="512"/>
      <c r="C30" s="513"/>
      <c r="D30" s="513"/>
      <c r="E30" s="513"/>
      <c r="F30" s="513"/>
      <c r="G30" s="513"/>
      <c r="H30" s="513"/>
      <c r="I30" s="513"/>
      <c r="J30" s="513"/>
      <c r="K30" s="513"/>
      <c r="L30" s="513"/>
      <c r="M30" s="513"/>
      <c r="N30" s="513"/>
      <c r="O30" s="513"/>
      <c r="P30" s="513"/>
      <c r="Q30" s="513"/>
      <c r="R30" s="513"/>
      <c r="S30" s="513"/>
      <c r="T30" s="513"/>
      <c r="U30" s="513"/>
      <c r="V30" s="498">
        <f>'hoaki dram19'!E15</f>
        <v>29347.5</v>
      </c>
      <c r="W30" s="513"/>
      <c r="X30" s="513"/>
      <c r="Y30" s="513"/>
      <c r="Z30" s="514"/>
      <c r="AA30" s="501"/>
      <c r="AB30" s="502">
        <f t="shared" si="7"/>
        <v>29347.5</v>
      </c>
      <c r="AC30" s="503"/>
      <c r="AD30" s="513"/>
      <c r="AE30" s="513"/>
      <c r="AF30" s="513"/>
      <c r="AG30" s="513"/>
      <c r="AH30" s="513"/>
      <c r="AI30" s="514"/>
      <c r="AJ30" s="514"/>
      <c r="AK30" s="502">
        <f t="shared" si="8"/>
        <v>0</v>
      </c>
      <c r="AL30" s="507">
        <f t="shared" si="9"/>
        <v>29347.5</v>
      </c>
      <c r="AM30" s="517"/>
      <c r="AN30" s="518"/>
      <c r="AO30" s="519">
        <f t="shared" si="4"/>
        <v>0</v>
      </c>
      <c r="AP30" s="511">
        <f t="shared" si="5"/>
        <v>29347.5</v>
      </c>
    </row>
    <row r="31" spans="1:42" s="273" customFormat="1" ht="17.25" customHeight="1">
      <c r="A31" s="373" t="s">
        <v>142</v>
      </c>
      <c r="B31" s="512"/>
      <c r="C31" s="513"/>
      <c r="D31" s="513"/>
      <c r="E31" s="513"/>
      <c r="F31" s="513"/>
      <c r="G31" s="513"/>
      <c r="H31" s="513"/>
      <c r="I31" s="513"/>
      <c r="J31" s="513"/>
      <c r="K31" s="513"/>
      <c r="L31" s="513"/>
      <c r="M31" s="513"/>
      <c r="N31" s="513"/>
      <c r="O31" s="513"/>
      <c r="P31" s="513"/>
      <c r="Q31" s="513"/>
      <c r="R31" s="513"/>
      <c r="S31" s="513"/>
      <c r="T31" s="513"/>
      <c r="U31" s="513"/>
      <c r="V31" s="498">
        <f>'hoaki dram19'!E16</f>
        <v>23586.8</v>
      </c>
      <c r="W31" s="513"/>
      <c r="X31" s="513"/>
      <c r="Y31" s="513"/>
      <c r="Z31" s="514"/>
      <c r="AA31" s="501"/>
      <c r="AB31" s="502">
        <f t="shared" si="7"/>
        <v>23586.8</v>
      </c>
      <c r="AC31" s="503"/>
      <c r="AD31" s="513"/>
      <c r="AE31" s="513"/>
      <c r="AF31" s="513"/>
      <c r="AG31" s="513"/>
      <c r="AH31" s="513"/>
      <c r="AI31" s="514"/>
      <c r="AJ31" s="514"/>
      <c r="AK31" s="502">
        <f t="shared" si="8"/>
        <v>0</v>
      </c>
      <c r="AL31" s="507">
        <f t="shared" si="9"/>
        <v>23586.8</v>
      </c>
      <c r="AM31" s="517"/>
      <c r="AN31" s="518"/>
      <c r="AO31" s="519">
        <f t="shared" si="4"/>
        <v>0</v>
      </c>
      <c r="AP31" s="511">
        <f t="shared" si="5"/>
        <v>23586.8</v>
      </c>
    </row>
    <row r="32" spans="1:42" s="273" customFormat="1" ht="17.25" customHeight="1" thickBot="1">
      <c r="A32" s="373" t="s">
        <v>143</v>
      </c>
      <c r="B32" s="538"/>
      <c r="C32" s="539"/>
      <c r="D32" s="539"/>
      <c r="E32" s="539"/>
      <c r="F32" s="539"/>
      <c r="G32" s="539"/>
      <c r="H32" s="539"/>
      <c r="I32" s="539"/>
      <c r="J32" s="539"/>
      <c r="K32" s="539"/>
      <c r="L32" s="539"/>
      <c r="M32" s="539"/>
      <c r="N32" s="539"/>
      <c r="O32" s="539"/>
      <c r="P32" s="539"/>
      <c r="Q32" s="539"/>
      <c r="R32" s="539"/>
      <c r="S32" s="539"/>
      <c r="T32" s="539"/>
      <c r="U32" s="539"/>
      <c r="V32" s="498">
        <f>'hoaki dram19'!E17</f>
        <v>28688.6</v>
      </c>
      <c r="W32" s="539"/>
      <c r="X32" s="539"/>
      <c r="Y32" s="539"/>
      <c r="Z32" s="540"/>
      <c r="AA32" s="527"/>
      <c r="AB32" s="502">
        <f t="shared" si="7"/>
        <v>28688.6</v>
      </c>
      <c r="AC32" s="528"/>
      <c r="AD32" s="539"/>
      <c r="AE32" s="539"/>
      <c r="AF32" s="539"/>
      <c r="AG32" s="539"/>
      <c r="AH32" s="539"/>
      <c r="AI32" s="540"/>
      <c r="AJ32" s="540"/>
      <c r="AK32" s="502">
        <f t="shared" si="8"/>
        <v>0</v>
      </c>
      <c r="AL32" s="507">
        <f t="shared" si="9"/>
        <v>28688.6</v>
      </c>
      <c r="AM32" s="517"/>
      <c r="AN32" s="518"/>
      <c r="AO32" s="519">
        <f t="shared" si="4"/>
        <v>0</v>
      </c>
      <c r="AP32" s="529">
        <f t="shared" si="5"/>
        <v>28688.6</v>
      </c>
    </row>
    <row r="33" spans="1:42" s="263" customFormat="1" ht="18.75" customHeight="1" thickBot="1">
      <c r="A33" s="374" t="s">
        <v>145</v>
      </c>
      <c r="B33" s="530">
        <f>SUM(B21:B32)</f>
        <v>0</v>
      </c>
      <c r="C33" s="531">
        <f aca="true" t="shared" si="10" ref="C33:AP33">SUM(C21:C32)</f>
        <v>0</v>
      </c>
      <c r="D33" s="531">
        <f t="shared" si="10"/>
        <v>0</v>
      </c>
      <c r="E33" s="531">
        <f t="shared" si="10"/>
        <v>0</v>
      </c>
      <c r="F33" s="531">
        <f t="shared" si="10"/>
        <v>0</v>
      </c>
      <c r="G33" s="531">
        <f t="shared" si="10"/>
        <v>0</v>
      </c>
      <c r="H33" s="531">
        <f t="shared" si="10"/>
        <v>0</v>
      </c>
      <c r="I33" s="531">
        <f t="shared" si="10"/>
        <v>0</v>
      </c>
      <c r="J33" s="531">
        <f t="shared" si="10"/>
        <v>0</v>
      </c>
      <c r="K33" s="531">
        <f t="shared" si="10"/>
        <v>0</v>
      </c>
      <c r="L33" s="531">
        <f t="shared" si="10"/>
        <v>0</v>
      </c>
      <c r="M33" s="531">
        <f t="shared" si="10"/>
        <v>0</v>
      </c>
      <c r="N33" s="531">
        <f t="shared" si="10"/>
        <v>0</v>
      </c>
      <c r="O33" s="531">
        <f t="shared" si="10"/>
        <v>0</v>
      </c>
      <c r="P33" s="531">
        <f t="shared" si="10"/>
        <v>0</v>
      </c>
      <c r="Q33" s="531">
        <f t="shared" si="10"/>
        <v>0</v>
      </c>
      <c r="R33" s="531">
        <f t="shared" si="10"/>
        <v>0</v>
      </c>
      <c r="S33" s="531">
        <f t="shared" si="10"/>
        <v>0</v>
      </c>
      <c r="T33" s="531">
        <f t="shared" si="10"/>
        <v>0</v>
      </c>
      <c r="U33" s="531">
        <f>SUM(U21:U32)</f>
        <v>0</v>
      </c>
      <c r="V33" s="531">
        <f>SUM(V21:V32)</f>
        <v>305597.1</v>
      </c>
      <c r="W33" s="531">
        <f>SUM(W21:W32)</f>
        <v>0</v>
      </c>
      <c r="X33" s="531">
        <f t="shared" si="10"/>
        <v>0</v>
      </c>
      <c r="Y33" s="531">
        <f t="shared" si="10"/>
        <v>0</v>
      </c>
      <c r="Z33" s="531">
        <f t="shared" si="10"/>
        <v>0</v>
      </c>
      <c r="AA33" s="533">
        <f t="shared" si="10"/>
        <v>0</v>
      </c>
      <c r="AB33" s="534">
        <f t="shared" si="10"/>
        <v>305597.1</v>
      </c>
      <c r="AC33" s="535">
        <f t="shared" si="10"/>
        <v>0</v>
      </c>
      <c r="AD33" s="531">
        <f t="shared" si="10"/>
        <v>0</v>
      </c>
      <c r="AE33" s="531">
        <f t="shared" si="10"/>
        <v>0</v>
      </c>
      <c r="AF33" s="531">
        <f t="shared" si="10"/>
        <v>0</v>
      </c>
      <c r="AG33" s="531">
        <f t="shared" si="10"/>
        <v>0</v>
      </c>
      <c r="AH33" s="531">
        <f t="shared" si="10"/>
        <v>0</v>
      </c>
      <c r="AI33" s="531">
        <f t="shared" si="10"/>
        <v>0</v>
      </c>
      <c r="AJ33" s="541">
        <f t="shared" si="10"/>
        <v>0</v>
      </c>
      <c r="AK33" s="534">
        <f t="shared" si="10"/>
        <v>0</v>
      </c>
      <c r="AL33" s="535">
        <f t="shared" si="10"/>
        <v>305597.1</v>
      </c>
      <c r="AM33" s="531">
        <f t="shared" si="10"/>
        <v>0</v>
      </c>
      <c r="AN33" s="542">
        <f t="shared" si="10"/>
        <v>0</v>
      </c>
      <c r="AO33" s="542">
        <f t="shared" si="10"/>
        <v>0</v>
      </c>
      <c r="AP33" s="534">
        <f t="shared" si="10"/>
        <v>305597.1</v>
      </c>
    </row>
    <row r="34" spans="1:42" s="273" customFormat="1" ht="18.75" customHeight="1">
      <c r="A34" s="369" t="s">
        <v>21</v>
      </c>
      <c r="B34" s="497"/>
      <c r="C34" s="498"/>
      <c r="D34" s="498"/>
      <c r="E34" s="498"/>
      <c r="F34" s="498"/>
      <c r="G34" s="498"/>
      <c r="H34" s="498"/>
      <c r="I34" s="498"/>
      <c r="J34" s="498"/>
      <c r="K34" s="498"/>
      <c r="L34" s="498"/>
      <c r="M34" s="498"/>
      <c r="N34" s="498"/>
      <c r="O34" s="498"/>
      <c r="P34" s="498"/>
      <c r="Q34" s="498"/>
      <c r="R34" s="498"/>
      <c r="S34" s="498"/>
      <c r="T34" s="498"/>
      <c r="U34" s="498"/>
      <c r="V34" s="498">
        <f>'hoaki dram19'!E19</f>
        <v>39258.1</v>
      </c>
      <c r="W34" s="498">
        <f>'hoaki dram19'!D19</f>
        <v>2800.5</v>
      </c>
      <c r="X34" s="498"/>
      <c r="Y34" s="498"/>
      <c r="Z34" s="506"/>
      <c r="AA34" s="501"/>
      <c r="AB34" s="502">
        <f t="shared" si="7"/>
        <v>42058.6</v>
      </c>
      <c r="AC34" s="503"/>
      <c r="AD34" s="498"/>
      <c r="AE34" s="498"/>
      <c r="AF34" s="498"/>
      <c r="AG34" s="498"/>
      <c r="AH34" s="498"/>
      <c r="AI34" s="506"/>
      <c r="AJ34" s="506"/>
      <c r="AK34" s="502">
        <f>SUM(AC34+AD34+AE34+AF34+AG34+AH34+AJ34)</f>
        <v>0</v>
      </c>
      <c r="AL34" s="507">
        <f>SUM(AB34,AK34)</f>
        <v>42058.6</v>
      </c>
      <c r="AM34" s="517"/>
      <c r="AN34" s="518"/>
      <c r="AO34" s="519">
        <f t="shared" si="4"/>
        <v>0</v>
      </c>
      <c r="AP34" s="537">
        <f t="shared" si="5"/>
        <v>42058.6</v>
      </c>
    </row>
    <row r="35" spans="1:42" s="273" customFormat="1" ht="18.75" customHeight="1">
      <c r="A35" s="375" t="s">
        <v>130</v>
      </c>
      <c r="B35" s="512"/>
      <c r="C35" s="513"/>
      <c r="D35" s="513"/>
      <c r="E35" s="513"/>
      <c r="F35" s="513"/>
      <c r="G35" s="513"/>
      <c r="H35" s="513"/>
      <c r="I35" s="513"/>
      <c r="J35" s="513"/>
      <c r="K35" s="513"/>
      <c r="L35" s="513"/>
      <c r="M35" s="513"/>
      <c r="N35" s="513"/>
      <c r="O35" s="513"/>
      <c r="P35" s="513"/>
      <c r="Q35" s="513"/>
      <c r="R35" s="513"/>
      <c r="S35" s="513"/>
      <c r="T35" s="513"/>
      <c r="U35" s="513"/>
      <c r="V35" s="498">
        <f>'hoaki dram19'!E20</f>
        <v>20477.3</v>
      </c>
      <c r="W35" s="498">
        <f>'hoaki dram19'!D20</f>
        <v>1166.9</v>
      </c>
      <c r="X35" s="513"/>
      <c r="Y35" s="513"/>
      <c r="Z35" s="514"/>
      <c r="AA35" s="501"/>
      <c r="AB35" s="502">
        <f t="shared" si="7"/>
        <v>21644.2</v>
      </c>
      <c r="AC35" s="503"/>
      <c r="AD35" s="513"/>
      <c r="AE35" s="513"/>
      <c r="AF35" s="513"/>
      <c r="AG35" s="513"/>
      <c r="AH35" s="513"/>
      <c r="AI35" s="514"/>
      <c r="AJ35" s="514"/>
      <c r="AK35" s="502">
        <f>SUM(AC35+AD35+AE35+AF35+AG35+AH35+AJ35)</f>
        <v>0</v>
      </c>
      <c r="AL35" s="507">
        <f>SUM(AB35,AK35)</f>
        <v>21644.2</v>
      </c>
      <c r="AM35" s="517"/>
      <c r="AN35" s="518"/>
      <c r="AO35" s="519">
        <f t="shared" si="4"/>
        <v>0</v>
      </c>
      <c r="AP35" s="511">
        <f t="shared" si="5"/>
        <v>21644.2</v>
      </c>
    </row>
    <row r="36" spans="1:42" s="273" customFormat="1" ht="18.75" customHeight="1">
      <c r="A36" s="369" t="s">
        <v>131</v>
      </c>
      <c r="B36" s="512"/>
      <c r="C36" s="513"/>
      <c r="D36" s="513"/>
      <c r="E36" s="513"/>
      <c r="F36" s="513"/>
      <c r="G36" s="513"/>
      <c r="H36" s="513"/>
      <c r="I36" s="513"/>
      <c r="J36" s="513"/>
      <c r="K36" s="513"/>
      <c r="L36" s="513"/>
      <c r="M36" s="513"/>
      <c r="N36" s="513"/>
      <c r="O36" s="513"/>
      <c r="P36" s="513"/>
      <c r="Q36" s="513"/>
      <c r="R36" s="513"/>
      <c r="S36" s="513"/>
      <c r="T36" s="513"/>
      <c r="U36" s="513"/>
      <c r="V36" s="498">
        <f>'hoaki dram19'!E21</f>
        <v>26188.1</v>
      </c>
      <c r="W36" s="513"/>
      <c r="X36" s="513"/>
      <c r="Y36" s="513"/>
      <c r="Z36" s="514"/>
      <c r="AA36" s="501"/>
      <c r="AB36" s="502">
        <f t="shared" si="7"/>
        <v>26188.1</v>
      </c>
      <c r="AC36" s="503"/>
      <c r="AD36" s="513"/>
      <c r="AE36" s="513"/>
      <c r="AF36" s="513"/>
      <c r="AG36" s="513"/>
      <c r="AH36" s="513"/>
      <c r="AI36" s="514"/>
      <c r="AJ36" s="514"/>
      <c r="AK36" s="502">
        <f>SUM(AC36+AD36+AE36+AF36+AG36+AH36+AJ36)</f>
        <v>0</v>
      </c>
      <c r="AL36" s="507">
        <f>SUM(AB36,AK36)</f>
        <v>26188.1</v>
      </c>
      <c r="AM36" s="517"/>
      <c r="AN36" s="518"/>
      <c r="AO36" s="519">
        <f t="shared" si="4"/>
        <v>0</v>
      </c>
      <c r="AP36" s="511">
        <f t="shared" si="5"/>
        <v>26188.1</v>
      </c>
    </row>
    <row r="37" spans="1:42" s="273" customFormat="1" ht="18.75" customHeight="1">
      <c r="A37" s="369" t="s">
        <v>98</v>
      </c>
      <c r="B37" s="512"/>
      <c r="C37" s="513"/>
      <c r="D37" s="513"/>
      <c r="E37" s="513"/>
      <c r="F37" s="513"/>
      <c r="G37" s="513"/>
      <c r="H37" s="513"/>
      <c r="I37" s="513"/>
      <c r="J37" s="513"/>
      <c r="K37" s="513"/>
      <c r="L37" s="513"/>
      <c r="M37" s="513"/>
      <c r="N37" s="513"/>
      <c r="O37" s="513"/>
      <c r="P37" s="513"/>
      <c r="Q37" s="513"/>
      <c r="R37" s="513"/>
      <c r="S37" s="513"/>
      <c r="T37" s="513"/>
      <c r="U37" s="513"/>
      <c r="V37" s="498">
        <f>'hoaki dram19'!E22</f>
        <v>15357</v>
      </c>
      <c r="W37" s="513"/>
      <c r="X37" s="513"/>
      <c r="Y37" s="513"/>
      <c r="Z37" s="514"/>
      <c r="AA37" s="501"/>
      <c r="AB37" s="502">
        <f t="shared" si="7"/>
        <v>15357</v>
      </c>
      <c r="AC37" s="503"/>
      <c r="AD37" s="513"/>
      <c r="AE37" s="513"/>
      <c r="AF37" s="513"/>
      <c r="AG37" s="513"/>
      <c r="AH37" s="513"/>
      <c r="AI37" s="514"/>
      <c r="AJ37" s="514"/>
      <c r="AK37" s="502">
        <f>SUM(AC37+AD37+AE37+AF37+AG37+AH37+AJ37)</f>
        <v>0</v>
      </c>
      <c r="AL37" s="507">
        <f>SUM(AB37,AK37)</f>
        <v>15357</v>
      </c>
      <c r="AM37" s="517"/>
      <c r="AN37" s="518"/>
      <c r="AO37" s="519">
        <f t="shared" si="4"/>
        <v>0</v>
      </c>
      <c r="AP37" s="511">
        <f t="shared" si="5"/>
        <v>15357</v>
      </c>
    </row>
    <row r="38" spans="1:42" s="273" customFormat="1" ht="18.75" customHeight="1" thickBot="1">
      <c r="A38" s="376" t="s">
        <v>47</v>
      </c>
      <c r="B38" s="538"/>
      <c r="C38" s="539"/>
      <c r="D38" s="539"/>
      <c r="E38" s="539"/>
      <c r="F38" s="539"/>
      <c r="G38" s="539"/>
      <c r="H38" s="539"/>
      <c r="I38" s="539"/>
      <c r="J38" s="539"/>
      <c r="K38" s="539"/>
      <c r="L38" s="539"/>
      <c r="M38" s="539"/>
      <c r="N38" s="539"/>
      <c r="O38" s="539"/>
      <c r="P38" s="539"/>
      <c r="Q38" s="539"/>
      <c r="R38" s="539"/>
      <c r="S38" s="539"/>
      <c r="T38" s="539"/>
      <c r="U38" s="539"/>
      <c r="V38" s="498">
        <f>'hoaki dram19'!E23</f>
        <v>10049.1</v>
      </c>
      <c r="W38" s="539"/>
      <c r="X38" s="539"/>
      <c r="Y38" s="539"/>
      <c r="Z38" s="540"/>
      <c r="AA38" s="527"/>
      <c r="AB38" s="502">
        <f t="shared" si="7"/>
        <v>10049.1</v>
      </c>
      <c r="AC38" s="528"/>
      <c r="AD38" s="539"/>
      <c r="AE38" s="539"/>
      <c r="AF38" s="539"/>
      <c r="AG38" s="539"/>
      <c r="AH38" s="539"/>
      <c r="AI38" s="540"/>
      <c r="AJ38" s="540"/>
      <c r="AK38" s="502">
        <f>SUM(AC38+AD38+AE38+AF38+AG38+AH38+AJ38)</f>
        <v>0</v>
      </c>
      <c r="AL38" s="507">
        <f>SUM(AB38,AK38)</f>
        <v>10049.1</v>
      </c>
      <c r="AM38" s="517"/>
      <c r="AN38" s="518"/>
      <c r="AO38" s="519">
        <f t="shared" si="4"/>
        <v>0</v>
      </c>
      <c r="AP38" s="529">
        <f t="shared" si="5"/>
        <v>10049.1</v>
      </c>
    </row>
    <row r="39" spans="1:42" s="263" customFormat="1" ht="19.5" customHeight="1" thickBot="1">
      <c r="A39" s="377" t="s">
        <v>146</v>
      </c>
      <c r="B39" s="530">
        <f>SUM(B34:B38)</f>
        <v>0</v>
      </c>
      <c r="C39" s="531">
        <f aca="true" t="shared" si="11" ref="C39:AP39">SUM(C34:C38)</f>
        <v>0</v>
      </c>
      <c r="D39" s="531">
        <f t="shared" si="11"/>
        <v>0</v>
      </c>
      <c r="E39" s="531">
        <f t="shared" si="11"/>
        <v>0</v>
      </c>
      <c r="F39" s="531">
        <f t="shared" si="11"/>
        <v>0</v>
      </c>
      <c r="G39" s="531">
        <f t="shared" si="11"/>
        <v>0</v>
      </c>
      <c r="H39" s="531">
        <f t="shared" si="11"/>
        <v>0</v>
      </c>
      <c r="I39" s="531">
        <f t="shared" si="11"/>
        <v>0</v>
      </c>
      <c r="J39" s="531">
        <f t="shared" si="11"/>
        <v>0</v>
      </c>
      <c r="K39" s="531">
        <f t="shared" si="11"/>
        <v>0</v>
      </c>
      <c r="L39" s="531">
        <f t="shared" si="11"/>
        <v>0</v>
      </c>
      <c r="M39" s="531">
        <f t="shared" si="11"/>
        <v>0</v>
      </c>
      <c r="N39" s="531">
        <f t="shared" si="11"/>
        <v>0</v>
      </c>
      <c r="O39" s="531">
        <f t="shared" si="11"/>
        <v>0</v>
      </c>
      <c r="P39" s="531">
        <f t="shared" si="11"/>
        <v>0</v>
      </c>
      <c r="Q39" s="531">
        <f t="shared" si="11"/>
        <v>0</v>
      </c>
      <c r="R39" s="531">
        <f t="shared" si="11"/>
        <v>0</v>
      </c>
      <c r="S39" s="531">
        <f t="shared" si="11"/>
        <v>0</v>
      </c>
      <c r="T39" s="531">
        <f t="shared" si="11"/>
        <v>0</v>
      </c>
      <c r="U39" s="531">
        <f>SUM(U34:U38)</f>
        <v>0</v>
      </c>
      <c r="V39" s="531">
        <f>SUM(V34:V38)</f>
        <v>111329.6</v>
      </c>
      <c r="W39" s="531">
        <f>SUM(W34:W38)</f>
        <v>3967.4</v>
      </c>
      <c r="X39" s="531">
        <f t="shared" si="11"/>
        <v>0</v>
      </c>
      <c r="Y39" s="531">
        <f t="shared" si="11"/>
        <v>0</v>
      </c>
      <c r="Z39" s="541">
        <f t="shared" si="11"/>
        <v>0</v>
      </c>
      <c r="AA39" s="533">
        <f t="shared" si="11"/>
        <v>0</v>
      </c>
      <c r="AB39" s="534">
        <f t="shared" si="11"/>
        <v>115297</v>
      </c>
      <c r="AC39" s="531">
        <f t="shared" si="11"/>
        <v>0</v>
      </c>
      <c r="AD39" s="531">
        <f t="shared" si="11"/>
        <v>0</v>
      </c>
      <c r="AE39" s="531">
        <f t="shared" si="11"/>
        <v>0</v>
      </c>
      <c r="AF39" s="531">
        <f t="shared" si="11"/>
        <v>0</v>
      </c>
      <c r="AG39" s="531">
        <f t="shared" si="11"/>
        <v>0</v>
      </c>
      <c r="AH39" s="531">
        <f t="shared" si="11"/>
        <v>0</v>
      </c>
      <c r="AI39" s="531">
        <f t="shared" si="11"/>
        <v>0</v>
      </c>
      <c r="AJ39" s="541">
        <f t="shared" si="11"/>
        <v>0</v>
      </c>
      <c r="AK39" s="534">
        <f t="shared" si="11"/>
        <v>0</v>
      </c>
      <c r="AL39" s="535">
        <f t="shared" si="11"/>
        <v>115297</v>
      </c>
      <c r="AM39" s="542">
        <f t="shared" si="11"/>
        <v>0</v>
      </c>
      <c r="AN39" s="542">
        <f t="shared" si="11"/>
        <v>0</v>
      </c>
      <c r="AO39" s="542">
        <f t="shared" si="11"/>
        <v>0</v>
      </c>
      <c r="AP39" s="534">
        <f t="shared" si="11"/>
        <v>115297</v>
      </c>
    </row>
    <row r="40" spans="1:42" s="273" customFormat="1" ht="18" customHeight="1">
      <c r="A40" s="373" t="s">
        <v>147</v>
      </c>
      <c r="B40" s="497"/>
      <c r="C40" s="498"/>
      <c r="D40" s="498"/>
      <c r="E40" s="498"/>
      <c r="F40" s="498"/>
      <c r="G40" s="498"/>
      <c r="H40" s="498"/>
      <c r="I40" s="498"/>
      <c r="J40" s="498"/>
      <c r="K40" s="498"/>
      <c r="L40" s="498"/>
      <c r="M40" s="498"/>
      <c r="N40" s="498"/>
      <c r="O40" s="498"/>
      <c r="P40" s="498"/>
      <c r="Q40" s="498"/>
      <c r="R40" s="498"/>
      <c r="S40" s="498"/>
      <c r="T40" s="498"/>
      <c r="U40" s="498"/>
      <c r="V40" s="498">
        <f>'hoaki dram19'!E25</f>
        <v>16617.5</v>
      </c>
      <c r="W40" s="498"/>
      <c r="X40" s="498"/>
      <c r="Y40" s="498"/>
      <c r="Z40" s="506"/>
      <c r="AA40" s="501"/>
      <c r="AB40" s="502">
        <f t="shared" si="7"/>
        <v>16617.5</v>
      </c>
      <c r="AC40" s="503"/>
      <c r="AD40" s="498"/>
      <c r="AE40" s="498"/>
      <c r="AF40" s="498"/>
      <c r="AG40" s="498"/>
      <c r="AH40" s="506"/>
      <c r="AI40" s="506"/>
      <c r="AJ40" s="506"/>
      <c r="AK40" s="502">
        <f>SUM(AC40+AD40+AE40+AF40+AG40+AH40+AJ40)</f>
        <v>0</v>
      </c>
      <c r="AL40" s="507">
        <f>SUM(AB40,AK40)</f>
        <v>16617.5</v>
      </c>
      <c r="AM40" s="517"/>
      <c r="AN40" s="518"/>
      <c r="AO40" s="519">
        <f t="shared" si="4"/>
        <v>0</v>
      </c>
      <c r="AP40" s="537">
        <f t="shared" si="5"/>
        <v>16617.5</v>
      </c>
    </row>
    <row r="41" spans="1:42" s="273" customFormat="1" ht="18" customHeight="1">
      <c r="A41" s="369" t="s">
        <v>148</v>
      </c>
      <c r="B41" s="512"/>
      <c r="C41" s="513"/>
      <c r="D41" s="513"/>
      <c r="E41" s="513"/>
      <c r="F41" s="513"/>
      <c r="G41" s="513"/>
      <c r="H41" s="513"/>
      <c r="I41" s="513"/>
      <c r="J41" s="513"/>
      <c r="K41" s="513"/>
      <c r="L41" s="513"/>
      <c r="M41" s="513"/>
      <c r="N41" s="513"/>
      <c r="O41" s="513"/>
      <c r="P41" s="513"/>
      <c r="Q41" s="513"/>
      <c r="R41" s="513"/>
      <c r="S41" s="513"/>
      <c r="T41" s="513"/>
      <c r="U41" s="513"/>
      <c r="V41" s="498">
        <f>'hoaki dram19'!E26</f>
        <v>12434.1</v>
      </c>
      <c r="W41" s="513"/>
      <c r="X41" s="513"/>
      <c r="Y41" s="513"/>
      <c r="Z41" s="514"/>
      <c r="AA41" s="501"/>
      <c r="AB41" s="502">
        <f t="shared" si="7"/>
        <v>12434.1</v>
      </c>
      <c r="AC41" s="503"/>
      <c r="AD41" s="513"/>
      <c r="AE41" s="513"/>
      <c r="AF41" s="513"/>
      <c r="AG41" s="513"/>
      <c r="AH41" s="513"/>
      <c r="AI41" s="514"/>
      <c r="AJ41" s="514"/>
      <c r="AK41" s="502">
        <f>SUM(AC41+AD41+AE41+AF41+AG41+AH41+AJ41)</f>
        <v>0</v>
      </c>
      <c r="AL41" s="507">
        <f>SUM(AB41,AK41)</f>
        <v>12434.1</v>
      </c>
      <c r="AM41" s="517"/>
      <c r="AN41" s="518"/>
      <c r="AO41" s="519">
        <f t="shared" si="4"/>
        <v>0</v>
      </c>
      <c r="AP41" s="511">
        <f t="shared" si="5"/>
        <v>12434.1</v>
      </c>
    </row>
    <row r="42" spans="1:42" s="273" customFormat="1" ht="18" customHeight="1">
      <c r="A42" s="369" t="s">
        <v>149</v>
      </c>
      <c r="B42" s="512"/>
      <c r="C42" s="513"/>
      <c r="D42" s="513"/>
      <c r="E42" s="513"/>
      <c r="F42" s="513"/>
      <c r="G42" s="513"/>
      <c r="H42" s="513"/>
      <c r="I42" s="513"/>
      <c r="J42" s="513"/>
      <c r="K42" s="513"/>
      <c r="L42" s="513"/>
      <c r="M42" s="513"/>
      <c r="N42" s="513"/>
      <c r="O42" s="513"/>
      <c r="P42" s="513"/>
      <c r="Q42" s="513"/>
      <c r="R42" s="513"/>
      <c r="S42" s="513"/>
      <c r="T42" s="513"/>
      <c r="U42" s="513"/>
      <c r="V42" s="498">
        <f>'hoaki dram19'!E27</f>
        <v>20125</v>
      </c>
      <c r="W42" s="513"/>
      <c r="X42" s="513"/>
      <c r="Y42" s="513"/>
      <c r="Z42" s="514"/>
      <c r="AA42" s="501"/>
      <c r="AB42" s="502">
        <f t="shared" si="7"/>
        <v>20125</v>
      </c>
      <c r="AC42" s="503"/>
      <c r="AD42" s="513"/>
      <c r="AE42" s="513"/>
      <c r="AF42" s="513"/>
      <c r="AG42" s="513"/>
      <c r="AH42" s="514"/>
      <c r="AI42" s="514"/>
      <c r="AJ42" s="514"/>
      <c r="AK42" s="502">
        <f>SUM(AC42+AD42+AE42+AF42+AG42+AH42+AJ42)</f>
        <v>0</v>
      </c>
      <c r="AL42" s="507">
        <f>SUM(AB42,AK42)</f>
        <v>20125</v>
      </c>
      <c r="AM42" s="517"/>
      <c r="AN42" s="518"/>
      <c r="AO42" s="519">
        <f t="shared" si="4"/>
        <v>0</v>
      </c>
      <c r="AP42" s="511">
        <f t="shared" si="5"/>
        <v>20125</v>
      </c>
    </row>
    <row r="43" spans="1:42" s="273" customFormat="1" ht="18" customHeight="1">
      <c r="A43" s="369" t="s">
        <v>150</v>
      </c>
      <c r="B43" s="512"/>
      <c r="C43" s="513"/>
      <c r="D43" s="513"/>
      <c r="E43" s="513"/>
      <c r="F43" s="513"/>
      <c r="G43" s="513"/>
      <c r="H43" s="513"/>
      <c r="I43" s="513"/>
      <c r="J43" s="513"/>
      <c r="K43" s="513"/>
      <c r="L43" s="513"/>
      <c r="M43" s="513"/>
      <c r="N43" s="513"/>
      <c r="O43" s="513"/>
      <c r="P43" s="513"/>
      <c r="Q43" s="513"/>
      <c r="R43" s="513"/>
      <c r="S43" s="513"/>
      <c r="T43" s="513"/>
      <c r="U43" s="513"/>
      <c r="V43" s="498">
        <f>'hoaki dram19'!E28</f>
        <v>22953.4</v>
      </c>
      <c r="W43" s="513"/>
      <c r="X43" s="513"/>
      <c r="Y43" s="513"/>
      <c r="Z43" s="514"/>
      <c r="AA43" s="501"/>
      <c r="AB43" s="502">
        <f t="shared" si="7"/>
        <v>22953.4</v>
      </c>
      <c r="AC43" s="503"/>
      <c r="AD43" s="513"/>
      <c r="AE43" s="513"/>
      <c r="AF43" s="513"/>
      <c r="AG43" s="513"/>
      <c r="AH43" s="514"/>
      <c r="AI43" s="514"/>
      <c r="AJ43" s="514"/>
      <c r="AK43" s="502">
        <f>SUM(AC43+AD43+AE43+AF43+AG43+AH43+AJ43)</f>
        <v>0</v>
      </c>
      <c r="AL43" s="507">
        <f>SUM(AB43,AK43)</f>
        <v>22953.4</v>
      </c>
      <c r="AM43" s="517"/>
      <c r="AN43" s="518"/>
      <c r="AO43" s="519">
        <f t="shared" si="4"/>
        <v>0</v>
      </c>
      <c r="AP43" s="511">
        <f t="shared" si="5"/>
        <v>22953.4</v>
      </c>
    </row>
    <row r="44" spans="1:42" s="273" customFormat="1" ht="18" customHeight="1" thickBot="1">
      <c r="A44" s="369" t="s">
        <v>151</v>
      </c>
      <c r="B44" s="538"/>
      <c r="C44" s="539"/>
      <c r="D44" s="539"/>
      <c r="E44" s="539"/>
      <c r="F44" s="539"/>
      <c r="G44" s="539"/>
      <c r="H44" s="539"/>
      <c r="I44" s="539"/>
      <c r="J44" s="539"/>
      <c r="K44" s="539"/>
      <c r="L44" s="539"/>
      <c r="M44" s="539"/>
      <c r="N44" s="539"/>
      <c r="O44" s="539"/>
      <c r="P44" s="539"/>
      <c r="Q44" s="539"/>
      <c r="R44" s="539"/>
      <c r="S44" s="539"/>
      <c r="T44" s="539"/>
      <c r="U44" s="539"/>
      <c r="V44" s="524">
        <f>'hoaki dram19'!E29</f>
        <v>30475.6</v>
      </c>
      <c r="W44" s="539"/>
      <c r="X44" s="539"/>
      <c r="Y44" s="539"/>
      <c r="Z44" s="540"/>
      <c r="AA44" s="527"/>
      <c r="AB44" s="543">
        <f t="shared" si="7"/>
        <v>30475.6</v>
      </c>
      <c r="AC44" s="528"/>
      <c r="AD44" s="539"/>
      <c r="AE44" s="539"/>
      <c r="AF44" s="539"/>
      <c r="AG44" s="539"/>
      <c r="AH44" s="540"/>
      <c r="AI44" s="540"/>
      <c r="AJ44" s="540"/>
      <c r="AK44" s="502">
        <f>SUM(AC44+AD44+AE44+AF44+AG44+AH44+AJ44)</f>
        <v>0</v>
      </c>
      <c r="AL44" s="544">
        <f>SUM(AB44,AK44)</f>
        <v>30475.6</v>
      </c>
      <c r="AM44" s="517"/>
      <c r="AN44" s="518"/>
      <c r="AO44" s="519">
        <f t="shared" si="4"/>
        <v>0</v>
      </c>
      <c r="AP44" s="529">
        <f t="shared" si="5"/>
        <v>30475.6</v>
      </c>
    </row>
    <row r="45" spans="1:42" s="263" customFormat="1" ht="22.5" customHeight="1" thickBot="1">
      <c r="A45" s="378" t="s">
        <v>122</v>
      </c>
      <c r="B45" s="545">
        <f>B33+B39+B40+B41+B42+B43+B44</f>
        <v>0</v>
      </c>
      <c r="C45" s="546">
        <f aca="true" t="shared" si="12" ref="C45:AM45">C33+C39+C40+C41+C42+C43+C44</f>
        <v>0</v>
      </c>
      <c r="D45" s="546">
        <f t="shared" si="12"/>
        <v>0</v>
      </c>
      <c r="E45" s="546">
        <f t="shared" si="12"/>
        <v>0</v>
      </c>
      <c r="F45" s="546">
        <f t="shared" si="12"/>
        <v>0</v>
      </c>
      <c r="G45" s="546">
        <f t="shared" si="12"/>
        <v>0</v>
      </c>
      <c r="H45" s="546">
        <f t="shared" si="12"/>
        <v>0</v>
      </c>
      <c r="I45" s="546">
        <f t="shared" si="12"/>
        <v>0</v>
      </c>
      <c r="J45" s="546">
        <f t="shared" si="12"/>
        <v>0</v>
      </c>
      <c r="K45" s="546">
        <f t="shared" si="12"/>
        <v>0</v>
      </c>
      <c r="L45" s="546">
        <f t="shared" si="12"/>
        <v>0</v>
      </c>
      <c r="M45" s="546">
        <f t="shared" si="12"/>
        <v>0</v>
      </c>
      <c r="N45" s="546">
        <f t="shared" si="12"/>
        <v>0</v>
      </c>
      <c r="O45" s="546">
        <f t="shared" si="12"/>
        <v>0</v>
      </c>
      <c r="P45" s="546">
        <f t="shared" si="12"/>
        <v>0</v>
      </c>
      <c r="Q45" s="546">
        <f t="shared" si="12"/>
        <v>0</v>
      </c>
      <c r="R45" s="546">
        <f t="shared" si="12"/>
        <v>0</v>
      </c>
      <c r="S45" s="546">
        <f t="shared" si="12"/>
        <v>0</v>
      </c>
      <c r="T45" s="546">
        <f t="shared" si="12"/>
        <v>0</v>
      </c>
      <c r="U45" s="546">
        <f t="shared" si="12"/>
        <v>0</v>
      </c>
      <c r="V45" s="546">
        <f t="shared" si="12"/>
        <v>519532.29999999993</v>
      </c>
      <c r="W45" s="546">
        <f t="shared" si="12"/>
        <v>3967.4</v>
      </c>
      <c r="X45" s="546">
        <f t="shared" si="12"/>
        <v>0</v>
      </c>
      <c r="Y45" s="546">
        <f t="shared" si="12"/>
        <v>0</v>
      </c>
      <c r="Z45" s="547">
        <f t="shared" si="12"/>
        <v>0</v>
      </c>
      <c r="AA45" s="548">
        <f t="shared" si="12"/>
        <v>0</v>
      </c>
      <c r="AB45" s="549">
        <f t="shared" si="12"/>
        <v>523499.69999999995</v>
      </c>
      <c r="AC45" s="546">
        <f t="shared" si="12"/>
        <v>0</v>
      </c>
      <c r="AD45" s="546">
        <f t="shared" si="12"/>
        <v>0</v>
      </c>
      <c r="AE45" s="546">
        <f t="shared" si="12"/>
        <v>0</v>
      </c>
      <c r="AF45" s="546">
        <f t="shared" si="12"/>
        <v>0</v>
      </c>
      <c r="AG45" s="546">
        <f t="shared" si="12"/>
        <v>0</v>
      </c>
      <c r="AH45" s="546">
        <f t="shared" si="12"/>
        <v>0</v>
      </c>
      <c r="AI45" s="546">
        <f>AI33+AI39+AI40+AI41+AI42+AI43+AI44</f>
        <v>0</v>
      </c>
      <c r="AJ45" s="547">
        <f t="shared" si="12"/>
        <v>0</v>
      </c>
      <c r="AK45" s="549">
        <f t="shared" si="12"/>
        <v>0</v>
      </c>
      <c r="AL45" s="550">
        <f t="shared" si="12"/>
        <v>523499.69999999995</v>
      </c>
      <c r="AM45" s="546">
        <f t="shared" si="12"/>
        <v>0</v>
      </c>
      <c r="AN45" s="551">
        <f>AN33+AN39+AN40+AN41+AN42+AN43+AN44</f>
        <v>0</v>
      </c>
      <c r="AO45" s="551">
        <f>AO33+AO39+AO40+AO41+AO42+AO43+AO44</f>
        <v>0</v>
      </c>
      <c r="AP45" s="534">
        <f>AP33+AP39+AP40+AP41+AP42+AP43+AP44</f>
        <v>523499.69999999995</v>
      </c>
    </row>
    <row r="46" spans="1:42" s="263" customFormat="1" ht="27.75" customHeight="1" thickBot="1">
      <c r="A46" s="379" t="s">
        <v>20</v>
      </c>
      <c r="B46" s="561">
        <f>B45+B20</f>
        <v>166112.3</v>
      </c>
      <c r="C46" s="490">
        <f aca="true" t="shared" si="13" ref="C46:AL46">C45+C20</f>
        <v>13309.4</v>
      </c>
      <c r="D46" s="490">
        <f t="shared" si="13"/>
        <v>6241.3</v>
      </c>
      <c r="E46" s="490">
        <f t="shared" si="13"/>
        <v>2098.9</v>
      </c>
      <c r="F46" s="490">
        <f t="shared" si="13"/>
        <v>3033.8</v>
      </c>
      <c r="G46" s="490">
        <f t="shared" si="13"/>
        <v>258</v>
      </c>
      <c r="H46" s="490">
        <f t="shared" si="13"/>
        <v>1236.2</v>
      </c>
      <c r="I46" s="489">
        <f t="shared" si="13"/>
        <v>0</v>
      </c>
      <c r="J46" s="490">
        <f t="shared" si="13"/>
        <v>779.6</v>
      </c>
      <c r="K46" s="490">
        <f t="shared" si="13"/>
        <v>245</v>
      </c>
      <c r="L46" s="490">
        <f t="shared" si="13"/>
        <v>846.8</v>
      </c>
      <c r="M46" s="490">
        <f t="shared" si="13"/>
        <v>3656.1</v>
      </c>
      <c r="N46" s="490">
        <f t="shared" si="13"/>
        <v>4121.599999999999</v>
      </c>
      <c r="O46" s="490">
        <f t="shared" si="13"/>
        <v>13918.3</v>
      </c>
      <c r="P46" s="490">
        <f t="shared" si="13"/>
        <v>1660</v>
      </c>
      <c r="Q46" s="490">
        <f t="shared" si="13"/>
        <v>4055.8</v>
      </c>
      <c r="R46" s="489">
        <f t="shared" si="13"/>
        <v>300</v>
      </c>
      <c r="S46" s="490">
        <f t="shared" si="13"/>
        <v>41741.9</v>
      </c>
      <c r="T46" s="490">
        <f t="shared" si="13"/>
        <v>3095.3</v>
      </c>
      <c r="U46" s="489">
        <f t="shared" si="13"/>
        <v>-125</v>
      </c>
      <c r="V46" s="490">
        <f t="shared" si="13"/>
        <v>519532.29999999993</v>
      </c>
      <c r="W46" s="490">
        <f t="shared" si="13"/>
        <v>3967.4</v>
      </c>
      <c r="X46" s="490">
        <f t="shared" si="13"/>
        <v>8395.6</v>
      </c>
      <c r="Y46" s="489">
        <f t="shared" si="13"/>
        <v>2110</v>
      </c>
      <c r="Z46" s="562">
        <f t="shared" si="13"/>
        <v>4923.7</v>
      </c>
      <c r="AA46" s="491">
        <f t="shared" si="13"/>
        <v>0</v>
      </c>
      <c r="AB46" s="492">
        <f t="shared" si="13"/>
        <v>805514.2999999999</v>
      </c>
      <c r="AC46" s="493">
        <f t="shared" si="13"/>
        <v>2800</v>
      </c>
      <c r="AD46" s="490">
        <f t="shared" si="13"/>
        <v>8724.2</v>
      </c>
      <c r="AE46" s="490">
        <f>AE45+AE20</f>
        <v>52247.5</v>
      </c>
      <c r="AF46" s="490">
        <f t="shared" si="13"/>
        <v>4300</v>
      </c>
      <c r="AG46" s="489">
        <f t="shared" si="13"/>
        <v>238</v>
      </c>
      <c r="AH46" s="490">
        <f t="shared" si="13"/>
        <v>12863.7</v>
      </c>
      <c r="AI46" s="490">
        <f>AI45+AI20</f>
        <v>0</v>
      </c>
      <c r="AJ46" s="563">
        <f t="shared" si="13"/>
        <v>1634</v>
      </c>
      <c r="AK46" s="492">
        <f t="shared" si="13"/>
        <v>82807.4</v>
      </c>
      <c r="AL46" s="494">
        <f t="shared" si="13"/>
        <v>888321.7</v>
      </c>
      <c r="AM46" s="495">
        <f>AM45+AM20</f>
        <v>-5029.3</v>
      </c>
      <c r="AN46" s="495">
        <f>AN45+AN20</f>
        <v>-1075.4</v>
      </c>
      <c r="AO46" s="495">
        <f>AO45+AO20</f>
        <v>-6104.700000000001</v>
      </c>
      <c r="AP46" s="496">
        <f>AP45+AP20</f>
        <v>882216.9999999999</v>
      </c>
    </row>
    <row r="47" spans="2:75" ht="12.75">
      <c r="B47" s="350"/>
      <c r="C47" s="350"/>
      <c r="D47" s="350"/>
      <c r="E47" s="350"/>
      <c r="F47" s="350" t="s">
        <v>216</v>
      </c>
      <c r="G47" s="350"/>
      <c r="H47" s="350"/>
      <c r="I47" s="350"/>
      <c r="J47" s="350"/>
      <c r="K47" s="350"/>
      <c r="L47" s="350" t="s">
        <v>216</v>
      </c>
      <c r="M47" s="350"/>
      <c r="N47" s="350"/>
      <c r="O47" s="350"/>
      <c r="P47" s="350"/>
      <c r="Q47" s="350"/>
      <c r="R47" s="350"/>
      <c r="S47" s="350"/>
      <c r="T47" s="350"/>
      <c r="U47" s="350"/>
      <c r="V47" s="350"/>
      <c r="W47" s="350"/>
      <c r="X47" s="350"/>
      <c r="Y47" s="350"/>
      <c r="Z47" s="350"/>
      <c r="AA47" s="350"/>
      <c r="AB47" s="350"/>
      <c r="AC47" s="350"/>
      <c r="AD47" s="350"/>
      <c r="AE47" s="350"/>
      <c r="AF47" s="350"/>
      <c r="AG47" s="350"/>
      <c r="AH47" s="350"/>
      <c r="AI47" s="350"/>
      <c r="AJ47" s="350"/>
      <c r="AK47" s="350"/>
      <c r="AL47" s="350"/>
      <c r="AM47" s="350"/>
      <c r="AN47" s="350"/>
      <c r="AO47" s="350"/>
      <c r="AP47" s="350"/>
      <c r="AQ47" s="350"/>
      <c r="AR47" s="350"/>
      <c r="AS47" s="350"/>
      <c r="AT47" s="350"/>
      <c r="AU47" s="350"/>
      <c r="AV47" s="350"/>
      <c r="AW47" s="350"/>
      <c r="AX47" s="350"/>
      <c r="AY47" s="350"/>
      <c r="AZ47" s="350"/>
      <c r="BA47" s="350"/>
      <c r="BB47" s="350"/>
      <c r="BC47" s="350"/>
      <c r="BD47" s="350"/>
      <c r="BE47" s="350"/>
      <c r="BF47" s="350"/>
      <c r="BG47" s="350"/>
      <c r="BH47" s="350"/>
      <c r="BI47" s="350"/>
      <c r="BJ47" s="350"/>
      <c r="BK47" s="350"/>
      <c r="BL47" s="350"/>
      <c r="BM47" s="350"/>
      <c r="BN47" s="350"/>
      <c r="BO47" s="350"/>
      <c r="BP47" s="350"/>
      <c r="BQ47" s="350"/>
      <c r="BR47" s="350"/>
      <c r="BS47" s="350"/>
      <c r="BT47" s="350"/>
      <c r="BU47" s="350"/>
      <c r="BV47" s="350"/>
      <c r="BW47" s="350"/>
    </row>
    <row r="49" ht="12.75">
      <c r="T49" s="240" t="s">
        <v>113</v>
      </c>
    </row>
  </sheetData>
  <sheetProtection/>
  <mergeCells count="1">
    <mergeCell ref="A3:P3"/>
  </mergeCells>
  <printOptions/>
  <pageMargins left="0.7" right="0.7" top="0.75" bottom="0.75" header="0.3" footer="0.3"/>
  <pageSetup horizontalDpi="600" verticalDpi="600" orientation="portrait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P47"/>
  <sheetViews>
    <sheetView view="pageBreakPreview" zoomScaleSheetLayoutView="100" workbookViewId="0" topLeftCell="A1">
      <pane xSplit="1" ySplit="4" topLeftCell="BL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O9" sqref="AO9"/>
    </sheetView>
  </sheetViews>
  <sheetFormatPr defaultColWidth="9.140625" defaultRowHeight="12.75"/>
  <cols>
    <col min="1" max="1" width="28.7109375" style="11" customWidth="1"/>
    <col min="2" max="2" width="10.421875" style="11" customWidth="1"/>
    <col min="3" max="5" width="7.28125" style="11" customWidth="1"/>
    <col min="6" max="8" width="9.28125" style="11" customWidth="1"/>
    <col min="9" max="10" width="9.7109375" style="11" customWidth="1"/>
    <col min="11" max="11" width="11.421875" style="11" customWidth="1"/>
    <col min="12" max="12" width="11.7109375" style="11" customWidth="1"/>
    <col min="13" max="13" width="9.28125" style="11" customWidth="1"/>
    <col min="14" max="14" width="8.57421875" style="11" customWidth="1"/>
    <col min="15" max="15" width="8.28125" style="11" customWidth="1"/>
    <col min="16" max="16" width="8.8515625" style="11" customWidth="1"/>
    <col min="17" max="17" width="7.8515625" style="11" customWidth="1"/>
    <col min="18" max="18" width="6.7109375" style="11" customWidth="1"/>
    <col min="19" max="19" width="8.57421875" style="11" customWidth="1"/>
    <col min="20" max="20" width="6.7109375" style="11" customWidth="1"/>
    <col min="21" max="21" width="6.8515625" style="11" customWidth="1"/>
    <col min="22" max="22" width="6.7109375" style="11" customWidth="1"/>
    <col min="23" max="23" width="9.00390625" style="11" customWidth="1"/>
    <col min="24" max="24" width="8.57421875" style="11" customWidth="1"/>
    <col min="25" max="25" width="9.8515625" style="11" customWidth="1"/>
    <col min="26" max="26" width="6.421875" style="11" customWidth="1"/>
    <col min="27" max="27" width="8.57421875" style="11" customWidth="1"/>
    <col min="28" max="28" width="7.7109375" style="11" customWidth="1"/>
    <col min="29" max="29" width="9.57421875" style="11" customWidth="1"/>
    <col min="30" max="30" width="8.421875" style="11" customWidth="1"/>
    <col min="31" max="31" width="7.00390625" style="11" customWidth="1"/>
    <col min="32" max="32" width="10.7109375" style="11" customWidth="1"/>
    <col min="33" max="33" width="8.57421875" style="11" customWidth="1"/>
    <col min="34" max="34" width="8.421875" style="11" customWidth="1"/>
    <col min="35" max="35" width="6.7109375" style="11" customWidth="1"/>
    <col min="36" max="36" width="8.28125" style="11" customWidth="1"/>
    <col min="37" max="37" width="8.57421875" style="11" hidden="1" customWidth="1"/>
    <col min="38" max="38" width="13.140625" style="11" customWidth="1"/>
    <col min="39" max="39" width="8.57421875" style="11" customWidth="1"/>
    <col min="40" max="40" width="9.28125" style="11" customWidth="1"/>
    <col min="41" max="41" width="9.421875" style="11" customWidth="1"/>
    <col min="42" max="43" width="8.57421875" style="11" customWidth="1"/>
    <col min="44" max="44" width="8.28125" style="11" customWidth="1"/>
    <col min="45" max="45" width="7.140625" style="11" customWidth="1"/>
    <col min="46" max="46" width="8.00390625" style="11" customWidth="1"/>
    <col min="47" max="47" width="10.140625" style="11" customWidth="1"/>
    <col min="48" max="48" width="12.00390625" style="11" customWidth="1"/>
    <col min="49" max="49" width="8.7109375" style="18" customWidth="1"/>
    <col min="50" max="50" width="7.00390625" style="18" customWidth="1"/>
    <col min="51" max="51" width="8.8515625" style="18" customWidth="1"/>
    <col min="52" max="60" width="7.00390625" style="18" customWidth="1"/>
    <col min="61" max="61" width="6.140625" style="18" customWidth="1"/>
    <col min="62" max="63" width="7.00390625" style="18" customWidth="1"/>
    <col min="64" max="65" width="6.140625" style="18" customWidth="1"/>
    <col min="66" max="66" width="7.57421875" style="18" customWidth="1"/>
    <col min="67" max="68" width="6.140625" style="18" customWidth="1"/>
    <col min="69" max="69" width="10.421875" style="18" customWidth="1"/>
    <col min="70" max="72" width="9.421875" style="18" customWidth="1"/>
    <col min="73" max="73" width="7.421875" style="18" customWidth="1"/>
    <col min="74" max="74" width="10.421875" style="18" customWidth="1"/>
    <col min="75" max="75" width="5.140625" style="18" customWidth="1"/>
    <col min="76" max="76" width="8.8515625" style="18" customWidth="1"/>
    <col min="77" max="77" width="8.421875" style="18" customWidth="1"/>
    <col min="78" max="78" width="9.421875" style="18" hidden="1" customWidth="1"/>
    <col min="79" max="79" width="0.13671875" style="18" hidden="1" customWidth="1"/>
    <col min="80" max="80" width="2.8515625" style="18" hidden="1" customWidth="1"/>
    <col min="81" max="81" width="4.57421875" style="18" hidden="1" customWidth="1"/>
    <col min="82" max="82" width="8.00390625" style="18" customWidth="1"/>
    <col min="83" max="83" width="10.28125" style="18" customWidth="1"/>
    <col min="84" max="84" width="9.421875" style="11" customWidth="1"/>
    <col min="85" max="85" width="8.421875" style="11" customWidth="1"/>
    <col min="86" max="86" width="9.28125" style="11" customWidth="1"/>
    <col min="87" max="87" width="11.140625" style="11" customWidth="1"/>
    <col min="88" max="88" width="9.8515625" style="11" customWidth="1"/>
    <col min="89" max="16384" width="9.140625" style="11" customWidth="1"/>
  </cols>
  <sheetData>
    <row r="1" spans="1:86" s="5" customFormat="1" ht="18" customHeight="1">
      <c r="A1" s="669" t="s">
        <v>244</v>
      </c>
      <c r="B1" s="669"/>
      <c r="C1" s="669"/>
      <c r="D1" s="669"/>
      <c r="E1" s="669"/>
      <c r="F1" s="669"/>
      <c r="G1" s="669"/>
      <c r="H1" s="669"/>
      <c r="I1" s="669"/>
      <c r="J1" s="669"/>
      <c r="K1" s="669"/>
      <c r="L1" s="669"/>
      <c r="M1" s="669"/>
      <c r="N1" s="669"/>
      <c r="O1" s="669"/>
      <c r="P1" s="669"/>
      <c r="Q1" s="669"/>
      <c r="R1" s="669"/>
      <c r="S1" s="2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G1" s="7"/>
      <c r="CH1" s="7"/>
    </row>
    <row r="2" spans="1:86" s="5" customFormat="1" ht="9" customHeight="1" thickBot="1">
      <c r="A2" s="157"/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2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G2" s="7"/>
      <c r="CH2" s="7"/>
    </row>
    <row r="3" spans="1:87" s="5" customFormat="1" ht="15.75" customHeight="1" thickBot="1">
      <c r="A3" s="670"/>
      <c r="B3" s="676" t="s">
        <v>228</v>
      </c>
      <c r="C3" s="677"/>
      <c r="D3" s="677"/>
      <c r="E3" s="677"/>
      <c r="F3" s="677"/>
      <c r="G3" s="677"/>
      <c r="H3" s="677"/>
      <c r="I3" s="677"/>
      <c r="J3" s="677"/>
      <c r="K3" s="678"/>
      <c r="L3" s="672" t="s">
        <v>121</v>
      </c>
      <c r="M3" s="672"/>
      <c r="N3" s="672"/>
      <c r="O3" s="672"/>
      <c r="P3" s="672"/>
      <c r="Q3" s="672"/>
      <c r="R3" s="672"/>
      <c r="S3" s="672"/>
      <c r="T3" s="672"/>
      <c r="U3" s="672"/>
      <c r="V3" s="672"/>
      <c r="W3" s="672"/>
      <c r="X3" s="672"/>
      <c r="Y3" s="672"/>
      <c r="Z3" s="672"/>
      <c r="AA3" s="672"/>
      <c r="AB3" s="672"/>
      <c r="AC3" s="672"/>
      <c r="AD3" s="672"/>
      <c r="AE3" s="672"/>
      <c r="AF3" s="672"/>
      <c r="AG3" s="672"/>
      <c r="AH3" s="672"/>
      <c r="AI3" s="672"/>
      <c r="AJ3" s="672"/>
      <c r="AK3" s="672"/>
      <c r="AL3" s="672"/>
      <c r="AM3" s="672"/>
      <c r="AN3" s="672"/>
      <c r="AO3" s="672"/>
      <c r="AP3" s="672"/>
      <c r="AQ3" s="672"/>
      <c r="AR3" s="672"/>
      <c r="AS3" s="672"/>
      <c r="AT3" s="672"/>
      <c r="AU3" s="672"/>
      <c r="AV3" s="673"/>
      <c r="AW3" s="666" t="s">
        <v>241</v>
      </c>
      <c r="AX3" s="667"/>
      <c r="AY3" s="667"/>
      <c r="AZ3" s="667"/>
      <c r="BA3" s="667"/>
      <c r="BB3" s="667"/>
      <c r="BC3" s="667"/>
      <c r="BD3" s="667"/>
      <c r="BE3" s="667"/>
      <c r="BF3" s="667"/>
      <c r="BG3" s="667"/>
      <c r="BH3" s="667"/>
      <c r="BI3" s="667"/>
      <c r="BJ3" s="667"/>
      <c r="BK3" s="667"/>
      <c r="BL3" s="667"/>
      <c r="BM3" s="667"/>
      <c r="BN3" s="667"/>
      <c r="BO3" s="667"/>
      <c r="BP3" s="667"/>
      <c r="BQ3" s="667"/>
      <c r="BR3" s="667"/>
      <c r="BS3" s="667"/>
      <c r="BT3" s="667"/>
      <c r="BU3" s="667"/>
      <c r="BV3" s="667"/>
      <c r="BW3" s="667"/>
      <c r="BX3" s="667"/>
      <c r="BY3" s="667"/>
      <c r="BZ3" s="667"/>
      <c r="CA3" s="667"/>
      <c r="CB3" s="667"/>
      <c r="CC3" s="667"/>
      <c r="CD3" s="667"/>
      <c r="CE3" s="668"/>
      <c r="CF3" s="674"/>
      <c r="CG3" s="675"/>
      <c r="CH3" s="675"/>
      <c r="CI3" s="664" t="s">
        <v>217</v>
      </c>
    </row>
    <row r="4" spans="1:87" s="6" customFormat="1" ht="36.75" customHeight="1" thickBot="1">
      <c r="A4" s="671"/>
      <c r="B4" s="485">
        <v>4111</v>
      </c>
      <c r="C4" s="481" t="s">
        <v>118</v>
      </c>
      <c r="D4" s="17" t="s">
        <v>5</v>
      </c>
      <c r="E4" s="17" t="s">
        <v>6</v>
      </c>
      <c r="F4" s="17" t="s">
        <v>13</v>
      </c>
      <c r="G4" s="17" t="s">
        <v>53</v>
      </c>
      <c r="H4" s="17" t="s">
        <v>60</v>
      </c>
      <c r="I4" s="486" t="s">
        <v>82</v>
      </c>
      <c r="J4" s="487" t="s">
        <v>56</v>
      </c>
      <c r="K4" s="28" t="s">
        <v>119</v>
      </c>
      <c r="L4" s="13">
        <v>4111</v>
      </c>
      <c r="M4" s="13">
        <v>4112</v>
      </c>
      <c r="N4" s="14">
        <v>4212</v>
      </c>
      <c r="O4" s="14">
        <v>4213</v>
      </c>
      <c r="P4" s="14">
        <v>4214</v>
      </c>
      <c r="Q4" s="14">
        <v>4215</v>
      </c>
      <c r="R4" s="14">
        <v>4221</v>
      </c>
      <c r="S4" s="14">
        <v>4222</v>
      </c>
      <c r="T4" s="14">
        <v>4232</v>
      </c>
      <c r="U4" s="14">
        <v>4234</v>
      </c>
      <c r="V4" s="14">
        <v>4237</v>
      </c>
      <c r="W4" s="14">
        <v>4239</v>
      </c>
      <c r="X4" s="14">
        <v>4241</v>
      </c>
      <c r="Y4" s="14">
        <v>4251</v>
      </c>
      <c r="Z4" s="14">
        <v>4252</v>
      </c>
      <c r="AA4" s="14">
        <v>4261</v>
      </c>
      <c r="AB4" s="14">
        <v>4262</v>
      </c>
      <c r="AC4" s="14" t="s">
        <v>51</v>
      </c>
      <c r="AD4" s="14" t="s">
        <v>52</v>
      </c>
      <c r="AE4" s="14" t="s">
        <v>2</v>
      </c>
      <c r="AF4" s="14">
        <v>4511</v>
      </c>
      <c r="AG4" s="14">
        <v>4637</v>
      </c>
      <c r="AH4" s="14" t="s">
        <v>54</v>
      </c>
      <c r="AI4" s="14">
        <v>4819</v>
      </c>
      <c r="AJ4" s="20" t="s">
        <v>60</v>
      </c>
      <c r="AK4" s="20">
        <v>4891</v>
      </c>
      <c r="AL4" s="22" t="s">
        <v>223</v>
      </c>
      <c r="AM4" s="110">
        <v>5111</v>
      </c>
      <c r="AN4" s="158" t="s">
        <v>82</v>
      </c>
      <c r="AO4" s="21" t="s">
        <v>56</v>
      </c>
      <c r="AP4" s="15" t="s">
        <v>57</v>
      </c>
      <c r="AQ4" s="15" t="s">
        <v>50</v>
      </c>
      <c r="AR4" s="19" t="s">
        <v>58</v>
      </c>
      <c r="AS4" s="19" t="s">
        <v>224</v>
      </c>
      <c r="AT4" s="19" t="s">
        <v>59</v>
      </c>
      <c r="AU4" s="23" t="s">
        <v>222</v>
      </c>
      <c r="AV4" s="16" t="s">
        <v>221</v>
      </c>
      <c r="AW4" s="13">
        <v>4111</v>
      </c>
      <c r="AX4" s="13">
        <v>4112</v>
      </c>
      <c r="AY4" s="14">
        <v>4212</v>
      </c>
      <c r="AZ4" s="14">
        <v>4213</v>
      </c>
      <c r="BA4" s="14">
        <v>4214</v>
      </c>
      <c r="BB4" s="14">
        <v>4215</v>
      </c>
      <c r="BC4" s="14">
        <v>4221</v>
      </c>
      <c r="BD4" s="14">
        <v>4222</v>
      </c>
      <c r="BE4" s="14">
        <v>4232</v>
      </c>
      <c r="BF4" s="14">
        <v>4234</v>
      </c>
      <c r="BG4" s="14">
        <v>4237</v>
      </c>
      <c r="BH4" s="14">
        <v>4239</v>
      </c>
      <c r="BI4" s="14">
        <v>4241</v>
      </c>
      <c r="BJ4" s="14">
        <v>4251</v>
      </c>
      <c r="BK4" s="14">
        <v>4252</v>
      </c>
      <c r="BL4" s="14">
        <v>4261</v>
      </c>
      <c r="BM4" s="14">
        <v>4262</v>
      </c>
      <c r="BN4" s="14" t="s">
        <v>51</v>
      </c>
      <c r="BO4" s="14" t="s">
        <v>52</v>
      </c>
      <c r="BP4" s="14" t="s">
        <v>2</v>
      </c>
      <c r="BQ4" s="14">
        <v>4511</v>
      </c>
      <c r="BR4" s="14">
        <v>4637</v>
      </c>
      <c r="BS4" s="14" t="s">
        <v>54</v>
      </c>
      <c r="BT4" s="14">
        <v>4819</v>
      </c>
      <c r="BU4" s="20" t="s">
        <v>60</v>
      </c>
      <c r="BV4" s="162" t="s">
        <v>220</v>
      </c>
      <c r="BW4" s="159">
        <v>5111</v>
      </c>
      <c r="BX4" s="21" t="s">
        <v>82</v>
      </c>
      <c r="BY4" s="15" t="s">
        <v>56</v>
      </c>
      <c r="BZ4" s="15" t="s">
        <v>57</v>
      </c>
      <c r="CA4" s="15" t="s">
        <v>50</v>
      </c>
      <c r="CB4" s="19" t="s">
        <v>58</v>
      </c>
      <c r="CC4" s="19" t="s">
        <v>59</v>
      </c>
      <c r="CD4" s="163" t="s">
        <v>218</v>
      </c>
      <c r="CE4" s="154" t="s">
        <v>219</v>
      </c>
      <c r="CF4" s="164">
        <v>8111</v>
      </c>
      <c r="CG4" s="88">
        <v>8411</v>
      </c>
      <c r="CH4" s="160" t="s">
        <v>174</v>
      </c>
      <c r="CI4" s="665"/>
    </row>
    <row r="5" spans="1:87" s="6" customFormat="1" ht="15" customHeight="1">
      <c r="A5" s="373" t="s">
        <v>123</v>
      </c>
      <c r="B5" s="373">
        <v>1295.3</v>
      </c>
      <c r="C5" s="420">
        <v>527.9</v>
      </c>
      <c r="D5" s="229">
        <v>5.1</v>
      </c>
      <c r="E5" s="229">
        <v>18</v>
      </c>
      <c r="F5" s="229"/>
      <c r="G5" s="229"/>
      <c r="H5" s="229"/>
      <c r="I5" s="229"/>
      <c r="J5" s="472"/>
      <c r="K5" s="230">
        <f>B5+C5+D5+E5+F5+G5+H5+I5+J5</f>
        <v>1846.2999999999997</v>
      </c>
      <c r="L5" s="27">
        <v>78804.7</v>
      </c>
      <c r="M5" s="27">
        <v>10643</v>
      </c>
      <c r="N5" s="27">
        <v>6413.8</v>
      </c>
      <c r="O5" s="27">
        <v>178.8</v>
      </c>
      <c r="P5" s="27">
        <v>1798.9</v>
      </c>
      <c r="Q5" s="27">
        <v>124</v>
      </c>
      <c r="R5" s="27">
        <v>96.2</v>
      </c>
      <c r="S5" s="27"/>
      <c r="T5" s="27">
        <v>434</v>
      </c>
      <c r="U5" s="27">
        <v>46.2</v>
      </c>
      <c r="V5" s="238">
        <v>846.8</v>
      </c>
      <c r="W5" s="27"/>
      <c r="X5" s="27">
        <v>3039.4</v>
      </c>
      <c r="Y5" s="27"/>
      <c r="Z5" s="27">
        <v>530</v>
      </c>
      <c r="AA5" s="238">
        <v>1537.4</v>
      </c>
      <c r="AB5" s="238"/>
      <c r="AC5" s="238">
        <v>1503.5</v>
      </c>
      <c r="AD5" s="27">
        <v>618.4</v>
      </c>
      <c r="AE5" s="27"/>
      <c r="AF5" s="27"/>
      <c r="AG5" s="27"/>
      <c r="AH5" s="27"/>
      <c r="AI5" s="27"/>
      <c r="AJ5" s="90">
        <v>53.6</v>
      </c>
      <c r="AK5" s="26"/>
      <c r="AL5" s="231">
        <f aca="true" t="shared" si="0" ref="AL5:AL19">L5+M5+N5+O5+P5+Q5+R5+S5+T5+U5+V5+W5+X5+Y5+Z5+AA5+AB5+AC5+AD5+AE5+AF5+AG5+AH5+AI5+AJ5+AK5</f>
        <v>106668.69999999998</v>
      </c>
      <c r="AM5" s="231"/>
      <c r="AN5" s="26"/>
      <c r="AO5" s="26"/>
      <c r="AP5" s="26">
        <v>4300</v>
      </c>
      <c r="AQ5" s="26">
        <v>238</v>
      </c>
      <c r="AR5" s="27"/>
      <c r="AS5" s="27"/>
      <c r="AT5" s="27"/>
      <c r="AU5" s="27">
        <f>AN5+AO5+AP5+AQ5+AR5+AS5+AT5+AM5</f>
        <v>4538</v>
      </c>
      <c r="AV5" s="27">
        <f>AL5+AU5</f>
        <v>111206.69999999998</v>
      </c>
      <c r="AW5" s="27">
        <f>L5-'2019dram'!B5-B5</f>
        <v>2.9558577807620168E-12</v>
      </c>
      <c r="AX5" s="27">
        <f>M5-'2019dram'!C5</f>
        <v>0</v>
      </c>
      <c r="AY5" s="27">
        <f>N5-'2019dram'!D5-C5</f>
        <v>573.6</v>
      </c>
      <c r="AZ5" s="27">
        <f>O5-'2019dram'!E5-D5</f>
        <v>2.3092638912203256E-14</v>
      </c>
      <c r="BA5" s="27">
        <f>P5-'2019dram'!F5-E5</f>
        <v>88.30000000000018</v>
      </c>
      <c r="BB5" s="27">
        <f>Q5-'2019dram'!G5</f>
        <v>0</v>
      </c>
      <c r="BC5" s="27">
        <f>R5-'2019dram'!H5</f>
        <v>0</v>
      </c>
      <c r="BD5" s="27">
        <f>S5-'2019dram'!I5</f>
        <v>0</v>
      </c>
      <c r="BE5" s="27">
        <f>T5-'2019dram'!J5</f>
        <v>0</v>
      </c>
      <c r="BF5" s="27">
        <f>U5-'2019dram'!K5</f>
        <v>0</v>
      </c>
      <c r="BG5" s="27">
        <f>V5-'2019dram'!L5</f>
        <v>0</v>
      </c>
      <c r="BH5" s="27">
        <f>W5-'2019dram'!M5</f>
        <v>0</v>
      </c>
      <c r="BI5" s="27">
        <f>X5-'2019dram'!N5</f>
        <v>0</v>
      </c>
      <c r="BJ5" s="27">
        <f>Y5-'2019dram'!O5</f>
        <v>0</v>
      </c>
      <c r="BK5" s="27">
        <f>Z5-'2019dram'!P5</f>
        <v>0</v>
      </c>
      <c r="BL5" s="27">
        <f>AA5-'2019dram'!Q5</f>
        <v>0</v>
      </c>
      <c r="BM5" s="27">
        <f>AB5-'2019dram'!R5</f>
        <v>0</v>
      </c>
      <c r="BN5" s="27">
        <f>AC5-'2019dram'!S5</f>
        <v>0</v>
      </c>
      <c r="BO5" s="27">
        <f>AD5-'2019dram'!T5</f>
        <v>0</v>
      </c>
      <c r="BP5" s="27">
        <f>AE5-'2019dram'!U5</f>
        <v>0</v>
      </c>
      <c r="BQ5" s="27">
        <f>AF5-'2019dram'!V5-G5</f>
        <v>0</v>
      </c>
      <c r="BR5" s="27">
        <f>AG5-'2019dram'!W5</f>
        <v>0</v>
      </c>
      <c r="BS5" s="27">
        <f>AH5-'2019dram'!X5</f>
        <v>0</v>
      </c>
      <c r="BT5" s="27">
        <f>AI5-'2019dram'!Y5</f>
        <v>0</v>
      </c>
      <c r="BU5" s="232">
        <f>AJ5-'2019dram'!Z5</f>
        <v>0</v>
      </c>
      <c r="BV5" s="233">
        <f>AW5+AX5+AY5+AZ5+BA5+BB5+BC5+BD5+BE5+BF5+BG5+BH5+BI5+BJ5+BK5+BL5+BM5+BN5+BO5+BP5+BQ5+BR5+BS5+BT5+BU5</f>
        <v>661.9000000000032</v>
      </c>
      <c r="BW5" s="234">
        <f>AM5-'2019dram'!AC5</f>
        <v>0</v>
      </c>
      <c r="BX5" s="26">
        <f>AN5-'2019dram'!AD5-I5</f>
        <v>0</v>
      </c>
      <c r="BY5" s="26">
        <f>AO5-'2019dram'!AE5</f>
        <v>0</v>
      </c>
      <c r="BZ5" s="26">
        <f>AP5-'2019dram'!AF5</f>
        <v>0</v>
      </c>
      <c r="CA5" s="26">
        <f>AQ5-'2019dram'!AG5</f>
        <v>0</v>
      </c>
      <c r="CB5" s="26">
        <f>AR5-'2019dram'!AH5</f>
        <v>0</v>
      </c>
      <c r="CC5" s="90">
        <f>AT5-'2019dram'!AJ5</f>
        <v>0</v>
      </c>
      <c r="CD5" s="233">
        <f>BX5+BY5+BZ5+CA5+CB5+CC5</f>
        <v>0</v>
      </c>
      <c r="CE5" s="235">
        <f>BV5+CD5</f>
        <v>661.9000000000032</v>
      </c>
      <c r="CF5" s="192"/>
      <c r="CG5" s="193"/>
      <c r="CH5" s="194">
        <f>CF5+CG5</f>
        <v>0</v>
      </c>
      <c r="CI5" s="137">
        <f>AV5+CH5</f>
        <v>111206.69999999998</v>
      </c>
    </row>
    <row r="6" spans="1:87" s="6" customFormat="1" ht="15" customHeight="1">
      <c r="A6" s="369" t="s">
        <v>124</v>
      </c>
      <c r="B6" s="369">
        <v>107.6</v>
      </c>
      <c r="C6" s="190">
        <v>84</v>
      </c>
      <c r="D6" s="197"/>
      <c r="E6" s="197">
        <v>7.7</v>
      </c>
      <c r="F6" s="197"/>
      <c r="G6" s="197"/>
      <c r="H6" s="229"/>
      <c r="I6" s="229"/>
      <c r="J6" s="472"/>
      <c r="K6" s="230">
        <f aca="true" t="shared" si="1" ref="K6:K44">B6+C6+D6+E6+F6+G6+H6+I6+J6</f>
        <v>199.29999999999998</v>
      </c>
      <c r="L6" s="27">
        <v>5638.5</v>
      </c>
      <c r="M6" s="25">
        <v>485.4</v>
      </c>
      <c r="N6" s="25">
        <v>262.1</v>
      </c>
      <c r="O6" s="25"/>
      <c r="P6" s="25">
        <v>159.1</v>
      </c>
      <c r="Q6" s="25"/>
      <c r="R6" s="25"/>
      <c r="S6" s="25"/>
      <c r="T6" s="25"/>
      <c r="U6" s="25"/>
      <c r="V6" s="25"/>
      <c r="W6" s="25"/>
      <c r="X6" s="25">
        <v>600</v>
      </c>
      <c r="Y6" s="25"/>
      <c r="Z6" s="25"/>
      <c r="AA6" s="25">
        <v>80</v>
      </c>
      <c r="AB6" s="25"/>
      <c r="AC6" s="25"/>
      <c r="AD6" s="25"/>
      <c r="AE6" s="25"/>
      <c r="AF6" s="25"/>
      <c r="AG6" s="25"/>
      <c r="AH6" s="25"/>
      <c r="AI6" s="25"/>
      <c r="AJ6" s="91"/>
      <c r="AK6" s="26"/>
      <c r="AL6" s="231">
        <f t="shared" si="0"/>
        <v>7225.1</v>
      </c>
      <c r="AM6" s="231"/>
      <c r="AN6" s="24"/>
      <c r="AO6" s="24"/>
      <c r="AP6" s="24"/>
      <c r="AQ6" s="24"/>
      <c r="AR6" s="25"/>
      <c r="AS6" s="25"/>
      <c r="AT6" s="25"/>
      <c r="AU6" s="27">
        <f aca="true" t="shared" si="2" ref="AU6:AU44">AN6+AO6+AP6+AQ6+AR6+AT6+AM6</f>
        <v>0</v>
      </c>
      <c r="AV6" s="27">
        <f aca="true" t="shared" si="3" ref="AV6:AV44">AL6+AU6</f>
        <v>7225.1</v>
      </c>
      <c r="AW6" s="27">
        <f>L6-'2019dram'!B6-B6</f>
        <v>3.694822225952521E-13</v>
      </c>
      <c r="AX6" s="27">
        <f>M6-'2019dram'!C6</f>
        <v>0</v>
      </c>
      <c r="AY6" s="27">
        <f>N6-'2019dram'!D6-C6</f>
        <v>-4.099999999999966</v>
      </c>
      <c r="AZ6" s="27">
        <f>O6-'2019dram'!E6-D6</f>
        <v>0</v>
      </c>
      <c r="BA6" s="27">
        <f>P6-'2019dram'!F6-E6</f>
        <v>3.7000000000000055</v>
      </c>
      <c r="BB6" s="27">
        <f>Q6-'2019dram'!G6</f>
        <v>0</v>
      </c>
      <c r="BC6" s="27">
        <f>R6-'2019dram'!H6</f>
        <v>0</v>
      </c>
      <c r="BD6" s="27">
        <f>S6-'2019dram'!I6</f>
        <v>0</v>
      </c>
      <c r="BE6" s="27">
        <f>T6-'2019dram'!J6</f>
        <v>0</v>
      </c>
      <c r="BF6" s="27">
        <f>U6-'2019dram'!K6</f>
        <v>0</v>
      </c>
      <c r="BG6" s="27">
        <f>V6-'2019dram'!L6</f>
        <v>0</v>
      </c>
      <c r="BH6" s="27">
        <f>W6-'2019dram'!M6</f>
        <v>0</v>
      </c>
      <c r="BI6" s="27">
        <f>X6-'2019dram'!N6</f>
        <v>0</v>
      </c>
      <c r="BJ6" s="27">
        <f>Y6-'2019dram'!O6</f>
        <v>0</v>
      </c>
      <c r="BK6" s="27">
        <f>Z6-'2019dram'!P6</f>
        <v>0</v>
      </c>
      <c r="BL6" s="27">
        <f>AA6-'2019dram'!Q6</f>
        <v>0</v>
      </c>
      <c r="BM6" s="27">
        <f>AB6-'2019dram'!R6</f>
        <v>0</v>
      </c>
      <c r="BN6" s="27">
        <f>AC6-'2019dram'!S6</f>
        <v>0</v>
      </c>
      <c r="BO6" s="27">
        <f>AD6-'2019dram'!T6</f>
        <v>0</v>
      </c>
      <c r="BP6" s="27">
        <f>AE6-'2019dram'!U6</f>
        <v>0</v>
      </c>
      <c r="BQ6" s="27">
        <f>AF6-'2019dram'!V6-G6</f>
        <v>0</v>
      </c>
      <c r="BR6" s="27">
        <f>AG6-'2019dram'!W6</f>
        <v>0</v>
      </c>
      <c r="BS6" s="27">
        <f>AH6-'2019dram'!X6</f>
        <v>0</v>
      </c>
      <c r="BT6" s="27">
        <f>AI6-'2019dram'!Y6</f>
        <v>0</v>
      </c>
      <c r="BU6" s="232">
        <f>AJ6-'2019dram'!Z6</f>
        <v>0</v>
      </c>
      <c r="BV6" s="233">
        <f>AW6+AX6+AY6+AZ6+BA6+BB6+BC6+BD6+BE6+BF6+BG6+BH6+BI6+BJ6+BK6+BL6+BM6+BN6+BO6+BP6+BQ6+BR6+BS6+BT6+BU6</f>
        <v>-0.3999999999995909</v>
      </c>
      <c r="BW6" s="234">
        <f>AM6-'2019dram'!AC6</f>
        <v>0</v>
      </c>
      <c r="BX6" s="26">
        <f>AN6-'2019dram'!AD6-I6</f>
        <v>0</v>
      </c>
      <c r="BY6" s="26">
        <f>AO6-'2019dram'!AE6</f>
        <v>0</v>
      </c>
      <c r="BZ6" s="26">
        <f>AP6-'2019dram'!AF6</f>
        <v>0</v>
      </c>
      <c r="CA6" s="26">
        <f>AQ6-'2019dram'!AG6</f>
        <v>0</v>
      </c>
      <c r="CB6" s="26">
        <f>AR6-'2019dram'!AH6</f>
        <v>0</v>
      </c>
      <c r="CC6" s="90">
        <f>AT6-'2019dram'!AJ6</f>
        <v>0</v>
      </c>
      <c r="CD6" s="233">
        <f aca="true" t="shared" si="4" ref="CD6:CD17">BX6+BY6+BZ6+CA6+CB6+CC6</f>
        <v>0</v>
      </c>
      <c r="CE6" s="235">
        <f aca="true" t="shared" si="5" ref="CE6:CE44">BV6+CD6</f>
        <v>-0.3999999999995909</v>
      </c>
      <c r="CF6" s="195"/>
      <c r="CG6" s="196"/>
      <c r="CH6" s="185">
        <f aca="true" t="shared" si="6" ref="CH6:CH44">CF6+CG6</f>
        <v>0</v>
      </c>
      <c r="CI6" s="137">
        <f aca="true" t="shared" si="7" ref="CI6:CI44">AV6+CH6</f>
        <v>7225.1</v>
      </c>
    </row>
    <row r="7" spans="1:87" s="6" customFormat="1" ht="15" customHeight="1">
      <c r="A7" s="369" t="s">
        <v>0</v>
      </c>
      <c r="B7" s="369"/>
      <c r="C7" s="190"/>
      <c r="D7" s="197"/>
      <c r="E7" s="197"/>
      <c r="F7" s="197"/>
      <c r="G7" s="197"/>
      <c r="H7" s="229"/>
      <c r="I7" s="229"/>
      <c r="J7" s="472"/>
      <c r="K7" s="230">
        <f t="shared" si="1"/>
        <v>0</v>
      </c>
      <c r="L7" s="27">
        <v>7202.8</v>
      </c>
      <c r="M7" s="25"/>
      <c r="N7" s="25"/>
      <c r="O7" s="25"/>
      <c r="P7" s="25"/>
      <c r="Q7" s="25"/>
      <c r="R7" s="25"/>
      <c r="S7" s="25"/>
      <c r="T7" s="25">
        <v>345.6</v>
      </c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91"/>
      <c r="AK7" s="26"/>
      <c r="AL7" s="231">
        <f t="shared" si="0"/>
        <v>7548.400000000001</v>
      </c>
      <c r="AM7" s="26"/>
      <c r="AN7" s="24"/>
      <c r="AO7" s="24"/>
      <c r="AP7" s="24"/>
      <c r="AQ7" s="24"/>
      <c r="AR7" s="25"/>
      <c r="AS7" s="25"/>
      <c r="AT7" s="25"/>
      <c r="AU7" s="27">
        <f t="shared" si="2"/>
        <v>0</v>
      </c>
      <c r="AV7" s="27">
        <f t="shared" si="3"/>
        <v>7548.400000000001</v>
      </c>
      <c r="AW7" s="27">
        <f>L7-'2019dram'!B7-B7</f>
        <v>0</v>
      </c>
      <c r="AX7" s="27">
        <f>M7-'2019dram'!C7</f>
        <v>0</v>
      </c>
      <c r="AY7" s="27">
        <f>N7-'2019dram'!D7-C7</f>
        <v>0</v>
      </c>
      <c r="AZ7" s="27">
        <f>O7-'2019dram'!E7-D7</f>
        <v>0</v>
      </c>
      <c r="BA7" s="27">
        <f>P7-'2019dram'!F7-E7</f>
        <v>0</v>
      </c>
      <c r="BB7" s="27">
        <f>Q7-'2019dram'!G7</f>
        <v>0</v>
      </c>
      <c r="BC7" s="27">
        <f>R7-'2019dram'!H7</f>
        <v>0</v>
      </c>
      <c r="BD7" s="27">
        <f>S7-'2019dram'!I7</f>
        <v>0</v>
      </c>
      <c r="BE7" s="27">
        <f>T7-'2019dram'!J7</f>
        <v>0</v>
      </c>
      <c r="BF7" s="27">
        <f>U7-'2019dram'!K7</f>
        <v>0</v>
      </c>
      <c r="BG7" s="27">
        <f>V7-'2019dram'!L7</f>
        <v>0</v>
      </c>
      <c r="BH7" s="27">
        <f>W7-'2019dram'!M7</f>
        <v>0</v>
      </c>
      <c r="BI7" s="27">
        <f>X7-'2019dram'!N7</f>
        <v>0</v>
      </c>
      <c r="BJ7" s="27">
        <f>Y7-'2019dram'!O7</f>
        <v>0</v>
      </c>
      <c r="BK7" s="27">
        <f>Z7-'2019dram'!P7</f>
        <v>0</v>
      </c>
      <c r="BL7" s="27">
        <f>AA7-'2019dram'!Q7</f>
        <v>0</v>
      </c>
      <c r="BM7" s="27">
        <f>AB7-'2019dram'!R7</f>
        <v>0</v>
      </c>
      <c r="BN7" s="27">
        <f>AC7-'2019dram'!S7</f>
        <v>0</v>
      </c>
      <c r="BO7" s="27">
        <f>AD7-'2019dram'!T7</f>
        <v>0</v>
      </c>
      <c r="BP7" s="27">
        <f>AE7-'2019dram'!U7</f>
        <v>0</v>
      </c>
      <c r="BQ7" s="27">
        <f>AF7-'2019dram'!V7-G7</f>
        <v>0</v>
      </c>
      <c r="BR7" s="27">
        <f>AG7-'2019dram'!W7</f>
        <v>0</v>
      </c>
      <c r="BS7" s="27">
        <f>AH7-'2019dram'!X7</f>
        <v>0</v>
      </c>
      <c r="BT7" s="27">
        <f>AI7-'2019dram'!Y7</f>
        <v>0</v>
      </c>
      <c r="BU7" s="232">
        <f>AJ7-'2019dram'!Z7</f>
        <v>0</v>
      </c>
      <c r="BV7" s="233">
        <f aca="true" t="shared" si="8" ref="BV7:BV44">AW7+AX7+AY7+AZ7+BA7+BB7+BC7+BD7+BE7+BF7+BG7+BH7+BI7+BJ7+BK7+BL7+BM7+BN7+BO7+BP7+BQ7+BR7+BS7+BT7+BU7</f>
        <v>0</v>
      </c>
      <c r="BW7" s="234">
        <f>AM7-'2019dram'!AC7</f>
        <v>0</v>
      </c>
      <c r="BX7" s="26">
        <f>AN7-'2019dram'!AD7-I7</f>
        <v>0</v>
      </c>
      <c r="BY7" s="26">
        <f>AO7-'2019dram'!AE7</f>
        <v>0</v>
      </c>
      <c r="BZ7" s="26">
        <f>AP7-'2019dram'!AF7</f>
        <v>0</v>
      </c>
      <c r="CA7" s="26">
        <f>AQ7-'2019dram'!AG7</f>
        <v>0</v>
      </c>
      <c r="CB7" s="26">
        <f>AR7-'2019dram'!AH7</f>
        <v>0</v>
      </c>
      <c r="CC7" s="90">
        <f>AT7-'2019dram'!AJ7</f>
        <v>0</v>
      </c>
      <c r="CD7" s="233">
        <f t="shared" si="4"/>
        <v>0</v>
      </c>
      <c r="CE7" s="235">
        <f t="shared" si="5"/>
        <v>0</v>
      </c>
      <c r="CF7" s="195"/>
      <c r="CG7" s="196"/>
      <c r="CH7" s="185">
        <f t="shared" si="6"/>
        <v>0</v>
      </c>
      <c r="CI7" s="137">
        <f t="shared" si="7"/>
        <v>7548.400000000001</v>
      </c>
    </row>
    <row r="8" spans="1:87" s="6" customFormat="1" ht="15" customHeight="1">
      <c r="A8" s="369" t="s">
        <v>1</v>
      </c>
      <c r="B8" s="369"/>
      <c r="C8" s="190"/>
      <c r="D8" s="197"/>
      <c r="E8" s="197"/>
      <c r="F8" s="197"/>
      <c r="G8" s="197"/>
      <c r="H8" s="229"/>
      <c r="I8" s="229">
        <v>-173.6</v>
      </c>
      <c r="J8" s="472">
        <v>-258.9</v>
      </c>
      <c r="K8" s="230">
        <f t="shared" si="1"/>
        <v>-432.5</v>
      </c>
      <c r="L8" s="27"/>
      <c r="M8" s="25"/>
      <c r="N8" s="25"/>
      <c r="O8" s="25"/>
      <c r="P8" s="25"/>
      <c r="Q8" s="25"/>
      <c r="R8" s="25">
        <v>1140</v>
      </c>
      <c r="S8" s="25"/>
      <c r="T8" s="25"/>
      <c r="U8" s="25">
        <v>118.8</v>
      </c>
      <c r="V8" s="25"/>
      <c r="W8" s="25"/>
      <c r="X8" s="25">
        <v>475</v>
      </c>
      <c r="Y8" s="25"/>
      <c r="Z8" s="25"/>
      <c r="AA8" s="25">
        <v>1257.6</v>
      </c>
      <c r="AB8" s="25"/>
      <c r="AC8" s="25"/>
      <c r="AD8" s="25">
        <v>510.1</v>
      </c>
      <c r="AE8" s="25"/>
      <c r="AF8" s="25"/>
      <c r="AG8" s="25"/>
      <c r="AH8" s="25"/>
      <c r="AI8" s="25">
        <v>2110</v>
      </c>
      <c r="AJ8" s="91">
        <v>729.8</v>
      </c>
      <c r="AK8" s="26"/>
      <c r="AL8" s="231">
        <f>L8+M8+N8+O8+P8+Q8+R8+S8+T8+U8+V8+W8+X8+Y8+Z8+AA8+AB8+AC8+AD8+AE8+AF8+AG8+AH8+AI8+AJ8+AK8</f>
        <v>6341.3</v>
      </c>
      <c r="AM8" s="26">
        <v>2800</v>
      </c>
      <c r="AN8" s="24">
        <v>9141.1</v>
      </c>
      <c r="AO8" s="24">
        <v>12905.8</v>
      </c>
      <c r="AP8" s="24"/>
      <c r="AQ8" s="24"/>
      <c r="AR8" s="25">
        <v>8165.7</v>
      </c>
      <c r="AS8" s="25"/>
      <c r="AT8" s="25">
        <v>1634</v>
      </c>
      <c r="AU8" s="27">
        <f t="shared" si="2"/>
        <v>34646.600000000006</v>
      </c>
      <c r="AV8" s="27">
        <f t="shared" si="3"/>
        <v>40987.90000000001</v>
      </c>
      <c r="AW8" s="27">
        <f>L8-'2019dram'!B8-B8</f>
        <v>0</v>
      </c>
      <c r="AX8" s="27">
        <f>M8-'2019dram'!C8</f>
        <v>0</v>
      </c>
      <c r="AY8" s="27">
        <f>N8-'2019dram'!D8-C8</f>
        <v>0</v>
      </c>
      <c r="AZ8" s="27">
        <f>O8-'2019dram'!E8-D8</f>
        <v>0</v>
      </c>
      <c r="BA8" s="27">
        <f>P8-'2019dram'!F8-E8</f>
        <v>0</v>
      </c>
      <c r="BB8" s="27">
        <f>Q8-'2019dram'!G8</f>
        <v>0</v>
      </c>
      <c r="BC8" s="27">
        <f>R8-'2019dram'!H8</f>
        <v>0</v>
      </c>
      <c r="BD8" s="27">
        <f>S8-'2019dram'!I8</f>
        <v>0</v>
      </c>
      <c r="BE8" s="27">
        <f>T8-'2019dram'!J8</f>
        <v>0</v>
      </c>
      <c r="BF8" s="27">
        <f>U8-'2019dram'!K8</f>
        <v>0</v>
      </c>
      <c r="BG8" s="27">
        <f>V8-'2019dram'!L8</f>
        <v>0</v>
      </c>
      <c r="BH8" s="27">
        <f>W8-'2019dram'!M8</f>
        <v>0</v>
      </c>
      <c r="BI8" s="27">
        <f>X8-'2019dram'!N8</f>
        <v>0</v>
      </c>
      <c r="BJ8" s="27">
        <f>Y8-'2019dram'!O8</f>
        <v>0</v>
      </c>
      <c r="BK8" s="27">
        <f>Z8-'2019dram'!P8</f>
        <v>0</v>
      </c>
      <c r="BL8" s="27">
        <f>AA8-'2019dram'!Q8</f>
        <v>0</v>
      </c>
      <c r="BM8" s="27">
        <f>AB8-'2019dram'!R8</f>
        <v>0</v>
      </c>
      <c r="BN8" s="27">
        <f>AC8-'2019dram'!S8</f>
        <v>0</v>
      </c>
      <c r="BO8" s="27">
        <f>AD8-'2019dram'!T8</f>
        <v>0</v>
      </c>
      <c r="BP8" s="27">
        <f>AE8-'2019dram'!U8</f>
        <v>0</v>
      </c>
      <c r="BQ8" s="27">
        <f>AF8-'2019dram'!V8-G8</f>
        <v>0</v>
      </c>
      <c r="BR8" s="27">
        <f>AG8-'2019dram'!W8</f>
        <v>0</v>
      </c>
      <c r="BS8" s="27">
        <f>AH8-'2019dram'!X8</f>
        <v>0</v>
      </c>
      <c r="BT8" s="27">
        <f>AI8-'2019dram'!Y8</f>
        <v>0</v>
      </c>
      <c r="BU8" s="232">
        <f>AJ8-'2019dram'!Z8</f>
        <v>0</v>
      </c>
      <c r="BV8" s="233">
        <f t="shared" si="8"/>
        <v>0</v>
      </c>
      <c r="BW8" s="234">
        <f>AM8-'2019dram'!AC8</f>
        <v>0</v>
      </c>
      <c r="BX8" s="26">
        <f>AN8-'2019dram'!AD8-I8</f>
        <v>590.4999999999997</v>
      </c>
      <c r="BY8" s="26">
        <f>AO8-'2019dram'!AE8-J8</f>
        <v>322.2999999999996</v>
      </c>
      <c r="BZ8" s="26">
        <f>AP8-'2019dram'!AF8</f>
        <v>0</v>
      </c>
      <c r="CA8" s="26">
        <f>AQ8-'2019dram'!AG8</f>
        <v>0</v>
      </c>
      <c r="CB8" s="26">
        <f>AR8-'2019dram'!AH8</f>
        <v>0</v>
      </c>
      <c r="CC8" s="90">
        <f>AT8-'2019dram'!AJ8</f>
        <v>0</v>
      </c>
      <c r="CD8" s="233">
        <f t="shared" si="4"/>
        <v>912.7999999999993</v>
      </c>
      <c r="CE8" s="235">
        <f t="shared" si="5"/>
        <v>912.7999999999993</v>
      </c>
      <c r="CF8" s="195"/>
      <c r="CG8" s="196"/>
      <c r="CH8" s="185">
        <f t="shared" si="6"/>
        <v>0</v>
      </c>
      <c r="CI8" s="137">
        <f t="shared" si="7"/>
        <v>40987.90000000001</v>
      </c>
    </row>
    <row r="9" spans="1:87" s="6" customFormat="1" ht="15" customHeight="1">
      <c r="A9" s="369" t="s">
        <v>103</v>
      </c>
      <c r="B9" s="369"/>
      <c r="C9" s="190"/>
      <c r="D9" s="197"/>
      <c r="E9" s="197"/>
      <c r="F9" s="197">
        <v>-711.9</v>
      </c>
      <c r="G9" s="197"/>
      <c r="H9" s="229"/>
      <c r="I9" s="229"/>
      <c r="J9" s="472"/>
      <c r="K9" s="230">
        <f t="shared" si="1"/>
        <v>-711.9</v>
      </c>
      <c r="L9" s="27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>
        <v>13206.4</v>
      </c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91"/>
      <c r="AK9" s="26"/>
      <c r="AL9" s="231">
        <f t="shared" si="0"/>
        <v>13206.4</v>
      </c>
      <c r="AM9" s="231"/>
      <c r="AN9" s="24"/>
      <c r="AO9" s="24">
        <v>41443.4</v>
      </c>
      <c r="AP9" s="24"/>
      <c r="AQ9" s="24"/>
      <c r="AR9" s="25"/>
      <c r="AS9" s="25"/>
      <c r="AT9" s="25"/>
      <c r="AU9" s="27">
        <f t="shared" si="2"/>
        <v>41443.4</v>
      </c>
      <c r="AV9" s="27">
        <f t="shared" si="3"/>
        <v>54649.8</v>
      </c>
      <c r="AW9" s="27">
        <f>L9-'2019dram'!B9-B9</f>
        <v>0</v>
      </c>
      <c r="AX9" s="27">
        <f>M9-'2019dram'!C9</f>
        <v>0</v>
      </c>
      <c r="AY9" s="27">
        <f>N9-'2019dram'!D9-C9</f>
        <v>0</v>
      </c>
      <c r="AZ9" s="27">
        <f>O9-'2019dram'!E9-D9</f>
        <v>0</v>
      </c>
      <c r="BA9" s="27">
        <f>P9-'2019dram'!F9-E9</f>
        <v>0</v>
      </c>
      <c r="BB9" s="27">
        <f>Q9-'2019dram'!G9</f>
        <v>0</v>
      </c>
      <c r="BC9" s="27">
        <f>R9-'2019dram'!H9</f>
        <v>0</v>
      </c>
      <c r="BD9" s="27">
        <f>S9-'2019dram'!I9</f>
        <v>0</v>
      </c>
      <c r="BE9" s="27">
        <f>T9-'2019dram'!J9</f>
        <v>0</v>
      </c>
      <c r="BF9" s="27">
        <f>U9-'2019dram'!K9</f>
        <v>0</v>
      </c>
      <c r="BG9" s="27">
        <f>V9-'2019dram'!L9</f>
        <v>0</v>
      </c>
      <c r="BH9" s="27">
        <f>W9-'2019dram'!M9</f>
        <v>0</v>
      </c>
      <c r="BI9" s="27">
        <f>X9-'2019dram'!N9</f>
        <v>0</v>
      </c>
      <c r="BJ9" s="27">
        <f>Y9-'2019dram'!O9-F9</f>
        <v>0</v>
      </c>
      <c r="BK9" s="27">
        <f>Z9-'2019dram'!P9</f>
        <v>0</v>
      </c>
      <c r="BL9" s="27">
        <f>AA9-'2019dram'!Q9</f>
        <v>0</v>
      </c>
      <c r="BM9" s="27">
        <f>AB9-'2019dram'!R9</f>
        <v>0</v>
      </c>
      <c r="BN9" s="27">
        <f>AC9-'2019dram'!S9</f>
        <v>0</v>
      </c>
      <c r="BO9" s="27">
        <f>AD9-'2019dram'!T9</f>
        <v>0</v>
      </c>
      <c r="BP9" s="27">
        <f>AE9-'2019dram'!U9</f>
        <v>0</v>
      </c>
      <c r="BQ9" s="27">
        <f>AF9-'2019dram'!V9-G9</f>
        <v>0</v>
      </c>
      <c r="BR9" s="27">
        <f>AG9-'2019dram'!W9</f>
        <v>0</v>
      </c>
      <c r="BS9" s="27">
        <f>AH9-'2019dram'!X9</f>
        <v>0</v>
      </c>
      <c r="BT9" s="27">
        <f>AI9-'2019dram'!Y9</f>
        <v>0</v>
      </c>
      <c r="BU9" s="232">
        <f>AJ9-'2019dram'!Z9</f>
        <v>0</v>
      </c>
      <c r="BV9" s="233">
        <f t="shared" si="8"/>
        <v>0</v>
      </c>
      <c r="BW9" s="234">
        <f>AM9-'2019dram'!AC9</f>
        <v>0</v>
      </c>
      <c r="BX9" s="26">
        <f>AN9-'2019dram'!AD9-I9</f>
        <v>0</v>
      </c>
      <c r="BY9" s="26">
        <f>AO9-'2019dram'!AE9-J9</f>
        <v>2038.300000000003</v>
      </c>
      <c r="BZ9" s="26">
        <f>AP9-'2019dram'!AF9</f>
        <v>0</v>
      </c>
      <c r="CA9" s="26">
        <f>AQ9-'2019dram'!AG9</f>
        <v>0</v>
      </c>
      <c r="CB9" s="26">
        <f>AR9-'2019dram'!AH9</f>
        <v>0</v>
      </c>
      <c r="CC9" s="90">
        <f>AT9-'2019dram'!AJ9</f>
        <v>0</v>
      </c>
      <c r="CD9" s="233">
        <f t="shared" si="4"/>
        <v>2038.300000000003</v>
      </c>
      <c r="CE9" s="235">
        <f t="shared" si="5"/>
        <v>2038.300000000003</v>
      </c>
      <c r="CF9" s="195"/>
      <c r="CG9" s="196"/>
      <c r="CH9" s="185">
        <f t="shared" si="6"/>
        <v>0</v>
      </c>
      <c r="CI9" s="137">
        <f t="shared" si="7"/>
        <v>54649.8</v>
      </c>
    </row>
    <row r="10" spans="1:88" s="6" customFormat="1" ht="15" customHeight="1">
      <c r="A10" s="369" t="s">
        <v>107</v>
      </c>
      <c r="B10" s="369"/>
      <c r="C10" s="190"/>
      <c r="D10" s="197"/>
      <c r="E10" s="197"/>
      <c r="F10" s="197"/>
      <c r="G10" s="197"/>
      <c r="H10" s="229"/>
      <c r="I10" s="229"/>
      <c r="J10" s="472"/>
      <c r="K10" s="230">
        <f t="shared" si="1"/>
        <v>0</v>
      </c>
      <c r="L10" s="27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91"/>
      <c r="AK10" s="26"/>
      <c r="AL10" s="231">
        <f t="shared" si="0"/>
        <v>0</v>
      </c>
      <c r="AM10" s="231"/>
      <c r="AN10" s="24"/>
      <c r="AO10" s="24"/>
      <c r="AP10" s="24"/>
      <c r="AQ10" s="24"/>
      <c r="AR10" s="25"/>
      <c r="AS10" s="25"/>
      <c r="AT10" s="25"/>
      <c r="AU10" s="27">
        <f t="shared" si="2"/>
        <v>0</v>
      </c>
      <c r="AV10" s="27">
        <f t="shared" si="3"/>
        <v>0</v>
      </c>
      <c r="AW10" s="27">
        <f>L10-'2019dram'!B10-B10</f>
        <v>0</v>
      </c>
      <c r="AX10" s="27">
        <f>M10-'2019dram'!C10</f>
        <v>0</v>
      </c>
      <c r="AY10" s="27">
        <f>N10-'2019dram'!D10-C10</f>
        <v>0</v>
      </c>
      <c r="AZ10" s="27">
        <f>O10-'2019dram'!E10-D10</f>
        <v>0</v>
      </c>
      <c r="BA10" s="27">
        <f>P10-'2019dram'!F10-E10</f>
        <v>0</v>
      </c>
      <c r="BB10" s="27">
        <f>Q10-'2019dram'!G10</f>
        <v>0</v>
      </c>
      <c r="BC10" s="27">
        <f>R10-'2019dram'!H10</f>
        <v>0</v>
      </c>
      <c r="BD10" s="27">
        <f>S10-'2019dram'!I10</f>
        <v>0</v>
      </c>
      <c r="BE10" s="27">
        <f>T10-'2019dram'!J10</f>
        <v>0</v>
      </c>
      <c r="BF10" s="27">
        <f>U10-'2019dram'!K10</f>
        <v>0</v>
      </c>
      <c r="BG10" s="27">
        <f>V10-'2019dram'!L10</f>
        <v>0</v>
      </c>
      <c r="BH10" s="27">
        <f>W10-'2019dram'!M10</f>
        <v>0</v>
      </c>
      <c r="BI10" s="27">
        <f>X10-'2019dram'!N10</f>
        <v>0</v>
      </c>
      <c r="BJ10" s="27">
        <f>Y10-'2019dram'!O10</f>
        <v>0</v>
      </c>
      <c r="BK10" s="27">
        <f>Z10-'2019dram'!P10</f>
        <v>0</v>
      </c>
      <c r="BL10" s="27">
        <f>AA10-'2019dram'!Q10</f>
        <v>0</v>
      </c>
      <c r="BM10" s="27">
        <f>AB10-'2019dram'!R10</f>
        <v>0</v>
      </c>
      <c r="BN10" s="27">
        <f>AC10-'2019dram'!S10</f>
        <v>0</v>
      </c>
      <c r="BO10" s="27">
        <f>AD10-'2019dram'!T10</f>
        <v>0</v>
      </c>
      <c r="BP10" s="27">
        <f>AE10-'2019dram'!U10</f>
        <v>0</v>
      </c>
      <c r="BQ10" s="27">
        <f>AF10-'2019dram'!V10-G10</f>
        <v>0</v>
      </c>
      <c r="BR10" s="27">
        <f>AG10-'2019dram'!W10</f>
        <v>0</v>
      </c>
      <c r="BS10" s="27">
        <f>AH10-'2019dram'!X10</f>
        <v>0</v>
      </c>
      <c r="BT10" s="27">
        <f>AI10-'2019dram'!Y10</f>
        <v>0</v>
      </c>
      <c r="BU10" s="232">
        <f>AJ10-'2019dram'!Z10</f>
        <v>0</v>
      </c>
      <c r="BV10" s="233">
        <f t="shared" si="8"/>
        <v>0</v>
      </c>
      <c r="BW10" s="234">
        <f>AM10-'2019dram'!AC10</f>
        <v>0</v>
      </c>
      <c r="BX10" s="26">
        <f>AN10-'2019dram'!AD10-I10</f>
        <v>0</v>
      </c>
      <c r="BY10" s="26">
        <f>AO10-'2019dram'!AE10</f>
        <v>0</v>
      </c>
      <c r="BZ10" s="26">
        <f>AP10-'2019dram'!AF10</f>
        <v>0</v>
      </c>
      <c r="CA10" s="26">
        <f>AQ10-'2019dram'!AG10</f>
        <v>0</v>
      </c>
      <c r="CB10" s="26">
        <f>AR10-'2019dram'!AH10</f>
        <v>0</v>
      </c>
      <c r="CC10" s="90">
        <f>AT10-'2019dram'!AJ10</f>
        <v>0</v>
      </c>
      <c r="CD10" s="233">
        <f t="shared" si="4"/>
        <v>0</v>
      </c>
      <c r="CE10" s="235">
        <f t="shared" si="5"/>
        <v>0</v>
      </c>
      <c r="CF10" s="195"/>
      <c r="CG10" s="196"/>
      <c r="CH10" s="185">
        <f t="shared" si="6"/>
        <v>0</v>
      </c>
      <c r="CI10" s="137">
        <f t="shared" si="7"/>
        <v>0</v>
      </c>
      <c r="CJ10" s="6" t="s">
        <v>87</v>
      </c>
    </row>
    <row r="11" spans="1:87" s="6" customFormat="1" ht="15" customHeight="1">
      <c r="A11" s="369" t="s">
        <v>125</v>
      </c>
      <c r="B11" s="369"/>
      <c r="C11" s="190"/>
      <c r="D11" s="197"/>
      <c r="E11" s="197"/>
      <c r="F11" s="197"/>
      <c r="G11" s="197"/>
      <c r="H11" s="229"/>
      <c r="I11" s="229"/>
      <c r="J11" s="472"/>
      <c r="K11" s="230">
        <f t="shared" si="1"/>
        <v>0</v>
      </c>
      <c r="L11" s="27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>
        <v>3656.1</v>
      </c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91"/>
      <c r="AK11" s="26"/>
      <c r="AL11" s="231">
        <f t="shared" si="0"/>
        <v>3656.1</v>
      </c>
      <c r="AM11" s="231"/>
      <c r="AN11" s="24"/>
      <c r="AO11" s="24"/>
      <c r="AP11" s="24"/>
      <c r="AQ11" s="24"/>
      <c r="AR11" s="25"/>
      <c r="AS11" s="25"/>
      <c r="AT11" s="25"/>
      <c r="AU11" s="27">
        <f t="shared" si="2"/>
        <v>0</v>
      </c>
      <c r="AV11" s="27">
        <f t="shared" si="3"/>
        <v>3656.1</v>
      </c>
      <c r="AW11" s="27">
        <f>L11-'2019dram'!B11-B11</f>
        <v>0</v>
      </c>
      <c r="AX11" s="27">
        <f>M11-'2019dram'!C11</f>
        <v>0</v>
      </c>
      <c r="AY11" s="27">
        <f>N11-'2019dram'!D11-C11</f>
        <v>0</v>
      </c>
      <c r="AZ11" s="27">
        <f>O11-'2019dram'!E11-D11</f>
        <v>0</v>
      </c>
      <c r="BA11" s="27">
        <f>P11-'2019dram'!F11-E11</f>
        <v>0</v>
      </c>
      <c r="BB11" s="27">
        <f>Q11-'2019dram'!G11</f>
        <v>0</v>
      </c>
      <c r="BC11" s="27">
        <f>R11-'2019dram'!H11</f>
        <v>0</v>
      </c>
      <c r="BD11" s="27">
        <f>S11-'2019dram'!I11</f>
        <v>0</v>
      </c>
      <c r="BE11" s="27">
        <f>T11-'2019dram'!J11</f>
        <v>0</v>
      </c>
      <c r="BF11" s="27">
        <f>U11-'2019dram'!K11</f>
        <v>0</v>
      </c>
      <c r="BG11" s="27">
        <f>V11-'2019dram'!L11</f>
        <v>0</v>
      </c>
      <c r="BH11" s="27">
        <f>W11-'2019dram'!M11</f>
        <v>0</v>
      </c>
      <c r="BI11" s="27">
        <f>X11-'2019dram'!N11</f>
        <v>0</v>
      </c>
      <c r="BJ11" s="27">
        <f>Y11-'2019dram'!O11</f>
        <v>0</v>
      </c>
      <c r="BK11" s="27">
        <f>Z11-'2019dram'!P11</f>
        <v>0</v>
      </c>
      <c r="BL11" s="27">
        <f>AA11-'2019dram'!Q11</f>
        <v>0</v>
      </c>
      <c r="BM11" s="27">
        <f>AB11-'2019dram'!R11</f>
        <v>0</v>
      </c>
      <c r="BN11" s="27">
        <f>AC11-'2019dram'!S11</f>
        <v>0</v>
      </c>
      <c r="BO11" s="27">
        <f>AD11-'2019dram'!T11</f>
        <v>0</v>
      </c>
      <c r="BP11" s="27">
        <f>AE11-'2019dram'!U11</f>
        <v>0</v>
      </c>
      <c r="BQ11" s="27">
        <f>AF11-'2019dram'!V11-G11</f>
        <v>0</v>
      </c>
      <c r="BR11" s="27">
        <f>AG11-'2019dram'!W11</f>
        <v>0</v>
      </c>
      <c r="BS11" s="27">
        <f>AH11-'2019dram'!X11</f>
        <v>0</v>
      </c>
      <c r="BT11" s="27">
        <f>AI11-'2019dram'!Y11</f>
        <v>0</v>
      </c>
      <c r="BU11" s="232">
        <f>AJ11-'2019dram'!Z11</f>
        <v>0</v>
      </c>
      <c r="BV11" s="233">
        <f t="shared" si="8"/>
        <v>0</v>
      </c>
      <c r="BW11" s="234">
        <f>AM11-'2019dram'!AC11</f>
        <v>0</v>
      </c>
      <c r="BX11" s="26">
        <f>AN11-'2019dram'!AD11-I11</f>
        <v>0</v>
      </c>
      <c r="BY11" s="26">
        <f>AO11-'2019dram'!AE11</f>
        <v>0</v>
      </c>
      <c r="BZ11" s="26">
        <f>AP11-'2019dram'!AF11</f>
        <v>0</v>
      </c>
      <c r="CA11" s="26">
        <f>AQ11-'2019dram'!AG11</f>
        <v>0</v>
      </c>
      <c r="CB11" s="26">
        <f>AR11-'2019dram'!AH11</f>
        <v>0</v>
      </c>
      <c r="CC11" s="90">
        <f>AT11-'2019dram'!AJ11</f>
        <v>0</v>
      </c>
      <c r="CD11" s="233">
        <f t="shared" si="4"/>
        <v>0</v>
      </c>
      <c r="CE11" s="235">
        <f t="shared" si="5"/>
        <v>0</v>
      </c>
      <c r="CF11" s="195"/>
      <c r="CG11" s="196"/>
      <c r="CH11" s="185">
        <f t="shared" si="6"/>
        <v>0</v>
      </c>
      <c r="CI11" s="137">
        <f t="shared" si="7"/>
        <v>3656.1</v>
      </c>
    </row>
    <row r="12" spans="1:94" s="6" customFormat="1" ht="15" customHeight="1">
      <c r="A12" s="369" t="s">
        <v>129</v>
      </c>
      <c r="B12" s="369"/>
      <c r="C12" s="190"/>
      <c r="D12" s="197"/>
      <c r="E12" s="197"/>
      <c r="F12" s="197"/>
      <c r="G12" s="197"/>
      <c r="H12" s="229"/>
      <c r="I12" s="229"/>
      <c r="J12" s="472"/>
      <c r="K12" s="230">
        <f t="shared" si="1"/>
        <v>0</v>
      </c>
      <c r="L12" s="27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>
        <v>6213</v>
      </c>
      <c r="AI12" s="25"/>
      <c r="AJ12" s="91"/>
      <c r="AK12" s="26"/>
      <c r="AL12" s="231">
        <f t="shared" si="0"/>
        <v>6213</v>
      </c>
      <c r="AM12" s="231"/>
      <c r="AN12" s="24"/>
      <c r="AO12" s="24"/>
      <c r="AP12" s="24"/>
      <c r="AQ12" s="24"/>
      <c r="AR12" s="25"/>
      <c r="AS12" s="25"/>
      <c r="AT12" s="25"/>
      <c r="AU12" s="27">
        <f t="shared" si="2"/>
        <v>0</v>
      </c>
      <c r="AV12" s="27">
        <f t="shared" si="3"/>
        <v>6213</v>
      </c>
      <c r="AW12" s="27">
        <f>L12-'2019dram'!B12-B12</f>
        <v>0</v>
      </c>
      <c r="AX12" s="27">
        <f>M12-'2019dram'!C12</f>
        <v>0</v>
      </c>
      <c r="AY12" s="27">
        <f>N12-'2019dram'!D12-C12</f>
        <v>0</v>
      </c>
      <c r="AZ12" s="27">
        <f>O12-'2019dram'!E12-D12</f>
        <v>0</v>
      </c>
      <c r="BA12" s="27">
        <f>P12-'2019dram'!F12-E12</f>
        <v>0</v>
      </c>
      <c r="BB12" s="27">
        <f>Q12-'2019dram'!G12</f>
        <v>0</v>
      </c>
      <c r="BC12" s="27">
        <f>R12-'2019dram'!H12</f>
        <v>0</v>
      </c>
      <c r="BD12" s="27">
        <f>S12-'2019dram'!I12</f>
        <v>0</v>
      </c>
      <c r="BE12" s="27">
        <f>T12-'2019dram'!J12</f>
        <v>0</v>
      </c>
      <c r="BF12" s="27">
        <f>U12-'2019dram'!K12</f>
        <v>0</v>
      </c>
      <c r="BG12" s="27">
        <f>V12-'2019dram'!L12</f>
        <v>0</v>
      </c>
      <c r="BH12" s="27">
        <f>W12-'2019dram'!M12</f>
        <v>0</v>
      </c>
      <c r="BI12" s="27">
        <f>X12-'2019dram'!N12</f>
        <v>0</v>
      </c>
      <c r="BJ12" s="27">
        <f>Y12-'2019dram'!O12</f>
        <v>0</v>
      </c>
      <c r="BK12" s="27">
        <f>Z12-'2019dram'!P12</f>
        <v>0</v>
      </c>
      <c r="BL12" s="27">
        <f>AA12-'2019dram'!Q12</f>
        <v>0</v>
      </c>
      <c r="BM12" s="27">
        <f>AB12-'2019dram'!R12</f>
        <v>0</v>
      </c>
      <c r="BN12" s="27">
        <f>AC12-'2019dram'!S12</f>
        <v>0</v>
      </c>
      <c r="BO12" s="27">
        <f>AD12-'2019dram'!T12</f>
        <v>0</v>
      </c>
      <c r="BP12" s="27">
        <f>AE12-'2019dram'!U12</f>
        <v>0</v>
      </c>
      <c r="BQ12" s="27">
        <f>AF12-'2019dram'!V12-G12</f>
        <v>0</v>
      </c>
      <c r="BR12" s="27">
        <f>AG12-'2019dram'!W12</f>
        <v>0</v>
      </c>
      <c r="BS12" s="27">
        <f>AH12-'2019dram'!X12</f>
        <v>0</v>
      </c>
      <c r="BT12" s="27">
        <f>AI12-'2019dram'!Y12</f>
        <v>0</v>
      </c>
      <c r="BU12" s="232">
        <f>AJ12-'2019dram'!Z12</f>
        <v>0</v>
      </c>
      <c r="BV12" s="233">
        <f t="shared" si="8"/>
        <v>0</v>
      </c>
      <c r="BW12" s="234">
        <f>AM12-'2019dram'!AC12</f>
        <v>0</v>
      </c>
      <c r="BX12" s="26">
        <f>AN12-'2019dram'!AD12-I12</f>
        <v>0</v>
      </c>
      <c r="BY12" s="26">
        <f>AO12-'2019dram'!AE12</f>
        <v>0</v>
      </c>
      <c r="BZ12" s="26">
        <f>AP12-'2019dram'!AF12</f>
        <v>0</v>
      </c>
      <c r="CA12" s="26">
        <f>AQ12-'2019dram'!AG12</f>
        <v>0</v>
      </c>
      <c r="CB12" s="26">
        <f>AR12-'2019dram'!AH12</f>
        <v>0</v>
      </c>
      <c r="CC12" s="90">
        <f>AT12-'2019dram'!AJ12</f>
        <v>0</v>
      </c>
      <c r="CD12" s="233">
        <f t="shared" si="4"/>
        <v>0</v>
      </c>
      <c r="CE12" s="235">
        <f t="shared" si="5"/>
        <v>0</v>
      </c>
      <c r="CF12" s="195"/>
      <c r="CG12" s="196"/>
      <c r="CH12" s="185">
        <f t="shared" si="6"/>
        <v>0</v>
      </c>
      <c r="CI12" s="137">
        <f t="shared" si="7"/>
        <v>6213</v>
      </c>
      <c r="CP12" s="6" t="s">
        <v>236</v>
      </c>
    </row>
    <row r="13" spans="1:87" s="6" customFormat="1" ht="15" customHeight="1">
      <c r="A13" s="369" t="s">
        <v>101</v>
      </c>
      <c r="B13" s="369"/>
      <c r="C13" s="190">
        <v>100</v>
      </c>
      <c r="D13" s="197">
        <v>0.2</v>
      </c>
      <c r="E13" s="197"/>
      <c r="F13" s="197"/>
      <c r="G13" s="197"/>
      <c r="H13" s="229">
        <v>19.5</v>
      </c>
      <c r="I13" s="229"/>
      <c r="J13" s="472"/>
      <c r="K13" s="230">
        <f t="shared" si="1"/>
        <v>119.7</v>
      </c>
      <c r="L13" s="27">
        <v>72021.9</v>
      </c>
      <c r="M13" s="25">
        <v>2181</v>
      </c>
      <c r="N13" s="25">
        <v>909.5</v>
      </c>
      <c r="O13" s="25">
        <v>1925.4</v>
      </c>
      <c r="P13" s="25">
        <v>1209.7</v>
      </c>
      <c r="Q13" s="25">
        <v>134</v>
      </c>
      <c r="R13" s="25"/>
      <c r="S13" s="25"/>
      <c r="T13" s="25"/>
      <c r="U13" s="25">
        <v>80</v>
      </c>
      <c r="V13" s="25"/>
      <c r="W13" s="25"/>
      <c r="X13" s="25">
        <v>7.2</v>
      </c>
      <c r="Y13" s="25"/>
      <c r="Z13" s="25">
        <v>1130</v>
      </c>
      <c r="AA13" s="25">
        <v>1180.8</v>
      </c>
      <c r="AB13" s="25">
        <v>300</v>
      </c>
      <c r="AC13" s="25">
        <v>40238.4</v>
      </c>
      <c r="AD13" s="25">
        <v>1966.8</v>
      </c>
      <c r="AE13" s="25"/>
      <c r="AF13" s="25"/>
      <c r="AG13" s="25"/>
      <c r="AH13" s="25">
        <v>2182.6</v>
      </c>
      <c r="AI13" s="25"/>
      <c r="AJ13" s="91">
        <v>4159.8</v>
      </c>
      <c r="AK13" s="26"/>
      <c r="AL13" s="231">
        <f t="shared" si="0"/>
        <v>129627.1</v>
      </c>
      <c r="AM13" s="231"/>
      <c r="AN13" s="24"/>
      <c r="AO13" s="24"/>
      <c r="AP13" s="24"/>
      <c r="AQ13" s="24"/>
      <c r="AR13" s="25">
        <v>4698</v>
      </c>
      <c r="AS13" s="25"/>
      <c r="AT13" s="25"/>
      <c r="AU13" s="27">
        <f t="shared" si="2"/>
        <v>4698</v>
      </c>
      <c r="AV13" s="27">
        <f t="shared" si="3"/>
        <v>134325.1</v>
      </c>
      <c r="AW13" s="27">
        <f>L13-'2019dram'!B13-B13</f>
        <v>0</v>
      </c>
      <c r="AX13" s="27">
        <f>M13-'2019dram'!C13</f>
        <v>0</v>
      </c>
      <c r="AY13" s="27">
        <f>N13-'2019dram'!D13-C13</f>
        <v>62.700000000000045</v>
      </c>
      <c r="AZ13" s="27">
        <f>O13-'2019dram'!E13-D13</f>
        <v>4.546363285840016E-14</v>
      </c>
      <c r="BA13" s="27">
        <f>P13-'2019dram'!F13-E13</f>
        <v>15.700000000000045</v>
      </c>
      <c r="BB13" s="27">
        <f>Q13-'2019dram'!G13</f>
        <v>0</v>
      </c>
      <c r="BC13" s="27">
        <f>R13-'2019dram'!H13</f>
        <v>0</v>
      </c>
      <c r="BD13" s="27">
        <f>S13-'2019dram'!I13</f>
        <v>0</v>
      </c>
      <c r="BE13" s="27">
        <f>T13-'2019dram'!J13</f>
        <v>0</v>
      </c>
      <c r="BF13" s="27">
        <f>U13-'2019dram'!K13</f>
        <v>0</v>
      </c>
      <c r="BG13" s="27">
        <f>V13-'2019dram'!L13</f>
        <v>0</v>
      </c>
      <c r="BH13" s="27">
        <f>W13-'2019dram'!M13</f>
        <v>0</v>
      </c>
      <c r="BI13" s="27">
        <f>X13-'2019dram'!N13</f>
        <v>0</v>
      </c>
      <c r="BJ13" s="27">
        <f>Y13-'2019dram'!O13</f>
        <v>0</v>
      </c>
      <c r="BK13" s="27">
        <f>Z13-'2019dram'!P13</f>
        <v>0</v>
      </c>
      <c r="BL13" s="27">
        <f>AA13-'2019dram'!Q13</f>
        <v>0</v>
      </c>
      <c r="BM13" s="27">
        <f>AB13-'2019dram'!R13</f>
        <v>0</v>
      </c>
      <c r="BN13" s="27">
        <f>AC13-'2019dram'!S13</f>
        <v>0</v>
      </c>
      <c r="BO13" s="27">
        <f>AD13-'2019dram'!T13</f>
        <v>0</v>
      </c>
      <c r="BP13" s="27">
        <f>AE13-'2019dram'!U13</f>
        <v>0</v>
      </c>
      <c r="BQ13" s="27">
        <f>AF13-'2019dram'!V13-G13</f>
        <v>0</v>
      </c>
      <c r="BR13" s="27">
        <f>AG13-'2019dram'!W13</f>
        <v>0</v>
      </c>
      <c r="BS13" s="27">
        <f>AH13-'2019dram'!X13</f>
        <v>0</v>
      </c>
      <c r="BT13" s="27">
        <f>AI13-'2019dram'!Y13</f>
        <v>0</v>
      </c>
      <c r="BU13" s="232">
        <f>AJ13-'2019dram'!Z13-H13</f>
        <v>0</v>
      </c>
      <c r="BV13" s="233">
        <f t="shared" si="8"/>
        <v>78.40000000000013</v>
      </c>
      <c r="BW13" s="234">
        <f>AM13-'2019dram'!AC13</f>
        <v>0</v>
      </c>
      <c r="BX13" s="26">
        <f>AN13-'2019dram'!AD13-I13</f>
        <v>0</v>
      </c>
      <c r="BY13" s="26">
        <f>AO13-'2019dram'!AE13</f>
        <v>0</v>
      </c>
      <c r="BZ13" s="26">
        <f>AP13-'2019dram'!AF13</f>
        <v>0</v>
      </c>
      <c r="CA13" s="26">
        <f>AQ13-'2019dram'!AG13</f>
        <v>0</v>
      </c>
      <c r="CB13" s="26">
        <f>AR13-'2019dram'!AH13</f>
        <v>0</v>
      </c>
      <c r="CC13" s="90">
        <f>AT13-'2019dram'!AJ13</f>
        <v>0</v>
      </c>
      <c r="CD13" s="233">
        <f t="shared" si="4"/>
        <v>0</v>
      </c>
      <c r="CE13" s="235">
        <f t="shared" si="5"/>
        <v>78.40000000000013</v>
      </c>
      <c r="CF13" s="195"/>
      <c r="CG13" s="196"/>
      <c r="CH13" s="185">
        <f t="shared" si="6"/>
        <v>0</v>
      </c>
      <c r="CI13" s="137">
        <f t="shared" si="7"/>
        <v>134325.1</v>
      </c>
    </row>
    <row r="14" spans="1:87" s="6" customFormat="1" ht="15" customHeight="1">
      <c r="A14" s="369" t="s">
        <v>100</v>
      </c>
      <c r="B14" s="369"/>
      <c r="C14" s="190"/>
      <c r="D14" s="197"/>
      <c r="E14" s="197"/>
      <c r="F14" s="197"/>
      <c r="G14" s="197"/>
      <c r="H14" s="229"/>
      <c r="I14" s="229"/>
      <c r="J14" s="472"/>
      <c r="K14" s="230">
        <f t="shared" si="1"/>
        <v>0</v>
      </c>
      <c r="L14" s="27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91"/>
      <c r="AK14" s="26"/>
      <c r="AL14" s="231">
        <f t="shared" si="0"/>
        <v>0</v>
      </c>
      <c r="AM14" s="231"/>
      <c r="AN14" s="24"/>
      <c r="AO14" s="24"/>
      <c r="AP14" s="24"/>
      <c r="AQ14" s="24"/>
      <c r="AR14" s="25"/>
      <c r="AS14" s="25"/>
      <c r="AT14" s="25"/>
      <c r="AU14" s="27">
        <f t="shared" si="2"/>
        <v>0</v>
      </c>
      <c r="AV14" s="27">
        <f t="shared" si="3"/>
        <v>0</v>
      </c>
      <c r="AW14" s="27">
        <f>L14-'2019dram'!B14-B14</f>
        <v>0</v>
      </c>
      <c r="AX14" s="27">
        <f>M14-'2019dram'!C14</f>
        <v>0</v>
      </c>
      <c r="AY14" s="27">
        <f>N14-'2019dram'!D14-C14</f>
        <v>0</v>
      </c>
      <c r="AZ14" s="27">
        <f>O14-'2019dram'!E14-D14</f>
        <v>0</v>
      </c>
      <c r="BA14" s="27">
        <f>P14-'2019dram'!F14-E14</f>
        <v>0</v>
      </c>
      <c r="BB14" s="27">
        <f>Q14-'2019dram'!G14</f>
        <v>0</v>
      </c>
      <c r="BC14" s="27">
        <f>R14-'2019dram'!H14</f>
        <v>0</v>
      </c>
      <c r="BD14" s="27">
        <f>S14-'2019dram'!I14</f>
        <v>0</v>
      </c>
      <c r="BE14" s="27">
        <f>T14-'2019dram'!J14</f>
        <v>0</v>
      </c>
      <c r="BF14" s="27">
        <f>U14-'2019dram'!K14</f>
        <v>0</v>
      </c>
      <c r="BG14" s="27">
        <f>V14-'2019dram'!L14</f>
        <v>0</v>
      </c>
      <c r="BH14" s="27">
        <f>W14-'2019dram'!M14</f>
        <v>0</v>
      </c>
      <c r="BI14" s="27">
        <f>X14-'2019dram'!N14</f>
        <v>0</v>
      </c>
      <c r="BJ14" s="27">
        <f>Y14-'2019dram'!O14</f>
        <v>0</v>
      </c>
      <c r="BK14" s="27">
        <f>Z14-'2019dram'!P14</f>
        <v>0</v>
      </c>
      <c r="BL14" s="27">
        <f>AA14-'2019dram'!Q14</f>
        <v>0</v>
      </c>
      <c r="BM14" s="27">
        <f>AB14-'2019dram'!R14</f>
        <v>0</v>
      </c>
      <c r="BN14" s="27">
        <f>AC14-'2019dram'!S14</f>
        <v>0</v>
      </c>
      <c r="BO14" s="27">
        <f>AD14-'2019dram'!T14</f>
        <v>0</v>
      </c>
      <c r="BP14" s="27">
        <f>AE14-'2019dram'!U14</f>
        <v>0</v>
      </c>
      <c r="BQ14" s="27">
        <f>AF14-'2019dram'!V14-G14</f>
        <v>0</v>
      </c>
      <c r="BR14" s="27">
        <f>AG14-'2019dram'!W14</f>
        <v>0</v>
      </c>
      <c r="BS14" s="27">
        <f>AH14-'2019dram'!X14</f>
        <v>0</v>
      </c>
      <c r="BT14" s="27">
        <f>AI14-'2019dram'!Y14</f>
        <v>0</v>
      </c>
      <c r="BU14" s="232">
        <f>AJ14-'2019dram'!Z14</f>
        <v>0</v>
      </c>
      <c r="BV14" s="233">
        <f t="shared" si="8"/>
        <v>0</v>
      </c>
      <c r="BW14" s="234">
        <f>AM14-'2019dram'!AC14</f>
        <v>0</v>
      </c>
      <c r="BX14" s="26">
        <f>AN14-'2019dram'!AD14-I14</f>
        <v>0</v>
      </c>
      <c r="BY14" s="26">
        <f>AO14-'2019dram'!AE14</f>
        <v>0</v>
      </c>
      <c r="BZ14" s="26">
        <f>AP14-'2019dram'!AF14</f>
        <v>0</v>
      </c>
      <c r="CA14" s="26">
        <f>AQ14-'2019dram'!AG14</f>
        <v>0</v>
      </c>
      <c r="CB14" s="26">
        <f>AR14-'2019dram'!AH14</f>
        <v>0</v>
      </c>
      <c r="CC14" s="90">
        <f>AT14-'2019dram'!AJ14</f>
        <v>0</v>
      </c>
      <c r="CD14" s="233">
        <f t="shared" si="4"/>
        <v>0</v>
      </c>
      <c r="CE14" s="235">
        <f t="shared" si="5"/>
        <v>0</v>
      </c>
      <c r="CF14" s="195"/>
      <c r="CG14" s="196"/>
      <c r="CH14" s="185">
        <f t="shared" si="6"/>
        <v>0</v>
      </c>
      <c r="CI14" s="137">
        <f t="shared" si="7"/>
        <v>0</v>
      </c>
    </row>
    <row r="15" spans="1:87" s="6" customFormat="1" ht="15" customHeight="1">
      <c r="A15" s="369" t="s">
        <v>99</v>
      </c>
      <c r="B15" s="369"/>
      <c r="C15" s="190"/>
      <c r="D15" s="197"/>
      <c r="E15" s="197"/>
      <c r="F15" s="197"/>
      <c r="G15" s="197"/>
      <c r="H15" s="229"/>
      <c r="I15" s="229"/>
      <c r="J15" s="472"/>
      <c r="K15" s="230">
        <f t="shared" si="1"/>
        <v>0</v>
      </c>
      <c r="L15" s="27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91"/>
      <c r="AK15" s="26"/>
      <c r="AL15" s="231">
        <f t="shared" si="0"/>
        <v>0</v>
      </c>
      <c r="AM15" s="231"/>
      <c r="AN15" s="24"/>
      <c r="AO15" s="24"/>
      <c r="AP15" s="24"/>
      <c r="AQ15" s="24"/>
      <c r="AR15" s="25"/>
      <c r="AS15" s="25"/>
      <c r="AT15" s="25"/>
      <c r="AU15" s="27">
        <f t="shared" si="2"/>
        <v>0</v>
      </c>
      <c r="AV15" s="27">
        <f t="shared" si="3"/>
        <v>0</v>
      </c>
      <c r="AW15" s="27">
        <f>L15-'2019dram'!B15-B15</f>
        <v>0</v>
      </c>
      <c r="AX15" s="27">
        <f>M15-'2019dram'!C15</f>
        <v>0</v>
      </c>
      <c r="AY15" s="27">
        <f>N15-'2019dram'!D15-C15</f>
        <v>0</v>
      </c>
      <c r="AZ15" s="27">
        <f>O15-'2019dram'!E15-D15</f>
        <v>0</v>
      </c>
      <c r="BA15" s="27">
        <f>P15-'2019dram'!F15-E15</f>
        <v>0</v>
      </c>
      <c r="BB15" s="27">
        <f>Q15-'2019dram'!G15</f>
        <v>0</v>
      </c>
      <c r="BC15" s="27">
        <f>R15-'2019dram'!H15</f>
        <v>0</v>
      </c>
      <c r="BD15" s="27">
        <f>S15-'2019dram'!I15</f>
        <v>0</v>
      </c>
      <c r="BE15" s="27">
        <f>T15-'2019dram'!J15</f>
        <v>0</v>
      </c>
      <c r="BF15" s="27">
        <f>U15-'2019dram'!K15</f>
        <v>0</v>
      </c>
      <c r="BG15" s="27">
        <f>V15-'2019dram'!L15</f>
        <v>0</v>
      </c>
      <c r="BH15" s="27">
        <f>W15-'2019dram'!M15</f>
        <v>0</v>
      </c>
      <c r="BI15" s="27">
        <f>X15-'2019dram'!N15</f>
        <v>0</v>
      </c>
      <c r="BJ15" s="27">
        <f>Y15-'2019dram'!O15</f>
        <v>0</v>
      </c>
      <c r="BK15" s="27">
        <f>Z15-'2019dram'!P15</f>
        <v>0</v>
      </c>
      <c r="BL15" s="27">
        <f>AA15-'2019dram'!Q15</f>
        <v>0</v>
      </c>
      <c r="BM15" s="27">
        <f>AB15-'2019dram'!R15</f>
        <v>0</v>
      </c>
      <c r="BN15" s="27">
        <f>AC15-'2019dram'!S15</f>
        <v>0</v>
      </c>
      <c r="BO15" s="27">
        <f>AD15-'2019dram'!T15</f>
        <v>0</v>
      </c>
      <c r="BP15" s="27">
        <f>AE15-'2019dram'!U15</f>
        <v>0</v>
      </c>
      <c r="BQ15" s="27">
        <f>AF15-'2019dram'!V15-G15</f>
        <v>0</v>
      </c>
      <c r="BR15" s="27">
        <f>AG15-'2019dram'!W15</f>
        <v>0</v>
      </c>
      <c r="BS15" s="27">
        <f>AH15-'2019dram'!X15</f>
        <v>0</v>
      </c>
      <c r="BT15" s="27">
        <f>AI15-'2019dram'!Y15</f>
        <v>0</v>
      </c>
      <c r="BU15" s="232">
        <f>AJ15-'2019dram'!Z15</f>
        <v>0</v>
      </c>
      <c r="BV15" s="233">
        <f t="shared" si="8"/>
        <v>0</v>
      </c>
      <c r="BW15" s="234">
        <f>AM15-'2019dram'!AC15</f>
        <v>0</v>
      </c>
      <c r="BX15" s="26">
        <f>AN15-'2019dram'!AD15-I15</f>
        <v>0</v>
      </c>
      <c r="BY15" s="26">
        <f>AO15-'2019dram'!AE15</f>
        <v>0</v>
      </c>
      <c r="BZ15" s="26">
        <f>AP15-'2019dram'!AF15</f>
        <v>0</v>
      </c>
      <c r="CA15" s="26">
        <f>AQ15-'2019dram'!AG15</f>
        <v>0</v>
      </c>
      <c r="CB15" s="26">
        <f>AR15-'2019dram'!AH15</f>
        <v>0</v>
      </c>
      <c r="CC15" s="90">
        <f>AT15-'2019dram'!AJ15</f>
        <v>0</v>
      </c>
      <c r="CD15" s="233">
        <f t="shared" si="4"/>
        <v>0</v>
      </c>
      <c r="CE15" s="235">
        <f t="shared" si="5"/>
        <v>0</v>
      </c>
      <c r="CF15" s="195"/>
      <c r="CG15" s="196"/>
      <c r="CH15" s="185">
        <f t="shared" si="6"/>
        <v>0</v>
      </c>
      <c r="CI15" s="137">
        <f t="shared" si="7"/>
        <v>0</v>
      </c>
    </row>
    <row r="16" spans="1:87" s="6" customFormat="1" ht="15" customHeight="1">
      <c r="A16" s="369" t="s">
        <v>102</v>
      </c>
      <c r="B16" s="369"/>
      <c r="C16" s="190"/>
      <c r="D16" s="197"/>
      <c r="E16" s="197"/>
      <c r="F16" s="197"/>
      <c r="G16" s="197"/>
      <c r="H16" s="229"/>
      <c r="I16" s="229"/>
      <c r="J16" s="472"/>
      <c r="K16" s="230">
        <f t="shared" si="1"/>
        <v>0</v>
      </c>
      <c r="L16" s="27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91"/>
      <c r="AK16" s="26"/>
      <c r="AL16" s="231">
        <f t="shared" si="0"/>
        <v>0</v>
      </c>
      <c r="AM16" s="231"/>
      <c r="AN16" s="24"/>
      <c r="AO16" s="24"/>
      <c r="AP16" s="24"/>
      <c r="AQ16" s="24"/>
      <c r="AR16" s="25"/>
      <c r="AS16" s="25"/>
      <c r="AT16" s="25"/>
      <c r="AU16" s="27">
        <f t="shared" si="2"/>
        <v>0</v>
      </c>
      <c r="AV16" s="27">
        <f t="shared" si="3"/>
        <v>0</v>
      </c>
      <c r="AW16" s="27">
        <f>L16-'2019dram'!B16-B16</f>
        <v>0</v>
      </c>
      <c r="AX16" s="27">
        <f>M16-'2019dram'!C16</f>
        <v>0</v>
      </c>
      <c r="AY16" s="27">
        <f>N16-'2019dram'!D16-C16</f>
        <v>0</v>
      </c>
      <c r="AZ16" s="27">
        <f>O16-'2019dram'!E16-D16</f>
        <v>0</v>
      </c>
      <c r="BA16" s="27">
        <f>P16-'2019dram'!F16-E16</f>
        <v>0</v>
      </c>
      <c r="BB16" s="27">
        <f>Q16-'2019dram'!G16</f>
        <v>0</v>
      </c>
      <c r="BC16" s="27">
        <f>R16-'2019dram'!H16</f>
        <v>0</v>
      </c>
      <c r="BD16" s="27">
        <f>S16-'2019dram'!I16</f>
        <v>0</v>
      </c>
      <c r="BE16" s="27">
        <f>T16-'2019dram'!J16</f>
        <v>0</v>
      </c>
      <c r="BF16" s="27">
        <f>U16-'2019dram'!K16</f>
        <v>0</v>
      </c>
      <c r="BG16" s="27">
        <f>V16-'2019dram'!L16</f>
        <v>0</v>
      </c>
      <c r="BH16" s="27">
        <f>W16-'2019dram'!M16</f>
        <v>0</v>
      </c>
      <c r="BI16" s="27">
        <f>X16-'2019dram'!N16</f>
        <v>0</v>
      </c>
      <c r="BJ16" s="27">
        <f>Y16-'2019dram'!O16</f>
        <v>0</v>
      </c>
      <c r="BK16" s="27">
        <f>Z16-'2019dram'!P16</f>
        <v>0</v>
      </c>
      <c r="BL16" s="27">
        <f>AA16-'2019dram'!Q16</f>
        <v>0</v>
      </c>
      <c r="BM16" s="27">
        <f>AB16-'2019dram'!R16</f>
        <v>0</v>
      </c>
      <c r="BN16" s="27">
        <f>AC16-'2019dram'!S16</f>
        <v>0</v>
      </c>
      <c r="BO16" s="27">
        <f>AD16-'2019dram'!T16</f>
        <v>0</v>
      </c>
      <c r="BP16" s="27">
        <f>AE16-'2019dram'!U16</f>
        <v>0</v>
      </c>
      <c r="BQ16" s="27">
        <f>AF16-'2019dram'!V16-G16</f>
        <v>0</v>
      </c>
      <c r="BR16" s="27">
        <f>AG16-'2019dram'!W16</f>
        <v>0</v>
      </c>
      <c r="BS16" s="27">
        <f>AH16-'2019dram'!X16</f>
        <v>0</v>
      </c>
      <c r="BT16" s="27">
        <f>AI16-'2019dram'!Y16</f>
        <v>0</v>
      </c>
      <c r="BU16" s="232">
        <f>AJ16-'2019dram'!Z16</f>
        <v>0</v>
      </c>
      <c r="BV16" s="233">
        <f t="shared" si="8"/>
        <v>0</v>
      </c>
      <c r="BW16" s="234">
        <f>AM16-'2019dram'!AC16</f>
        <v>0</v>
      </c>
      <c r="BX16" s="26">
        <f>AN16-'2019dram'!AD16-I16</f>
        <v>0</v>
      </c>
      <c r="BY16" s="26">
        <f>AO16-'2019dram'!AE16</f>
        <v>0</v>
      </c>
      <c r="BZ16" s="26">
        <f>AP16-'2019dram'!AF16</f>
        <v>0</v>
      </c>
      <c r="CA16" s="26">
        <f>AQ16-'2019dram'!AG16</f>
        <v>0</v>
      </c>
      <c r="CB16" s="26">
        <f>AR16-'2019dram'!AH16</f>
        <v>0</v>
      </c>
      <c r="CC16" s="90">
        <f>AT16-'2019dram'!AJ16</f>
        <v>0</v>
      </c>
      <c r="CD16" s="233">
        <f t="shared" si="4"/>
        <v>0</v>
      </c>
      <c r="CE16" s="235">
        <f t="shared" si="5"/>
        <v>0</v>
      </c>
      <c r="CF16" s="195"/>
      <c r="CG16" s="196"/>
      <c r="CH16" s="185">
        <f t="shared" si="6"/>
        <v>0</v>
      </c>
      <c r="CI16" s="137">
        <f t="shared" si="7"/>
        <v>0</v>
      </c>
    </row>
    <row r="17" spans="1:88" s="6" customFormat="1" ht="15" customHeight="1">
      <c r="A17" s="369" t="s">
        <v>83</v>
      </c>
      <c r="B17" s="369"/>
      <c r="C17" s="190"/>
      <c r="D17" s="197"/>
      <c r="E17" s="197">
        <v>0.5</v>
      </c>
      <c r="F17" s="197"/>
      <c r="G17" s="197"/>
      <c r="H17" s="197"/>
      <c r="I17" s="197"/>
      <c r="J17" s="472"/>
      <c r="K17" s="230">
        <f t="shared" si="1"/>
        <v>0.5</v>
      </c>
      <c r="L17" s="155">
        <v>3847.3</v>
      </c>
      <c r="M17" s="25"/>
      <c r="N17" s="25"/>
      <c r="O17" s="470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>
        <v>-125</v>
      </c>
      <c r="AF17" s="25"/>
      <c r="AG17" s="25"/>
      <c r="AH17" s="25"/>
      <c r="AI17" s="25"/>
      <c r="AJ17" s="91"/>
      <c r="AK17" s="24"/>
      <c r="AL17" s="231">
        <f t="shared" si="0"/>
        <v>3722.3</v>
      </c>
      <c r="AM17" s="231"/>
      <c r="AN17" s="24"/>
      <c r="AO17" s="24"/>
      <c r="AP17" s="24"/>
      <c r="AQ17" s="24"/>
      <c r="AR17" s="25"/>
      <c r="AS17" s="25"/>
      <c r="AT17" s="25"/>
      <c r="AU17" s="27">
        <f t="shared" si="2"/>
        <v>0</v>
      </c>
      <c r="AV17" s="25">
        <f t="shared" si="3"/>
        <v>3722.3</v>
      </c>
      <c r="AW17" s="27">
        <f>L17-'2019dram'!B17-B17</f>
        <v>0</v>
      </c>
      <c r="AX17" s="27">
        <f>M17-'2019dram'!C17</f>
        <v>0</v>
      </c>
      <c r="AY17" s="27">
        <f>N17-'2019dram'!D17-C17</f>
        <v>0</v>
      </c>
      <c r="AZ17" s="27">
        <f>O17-'2019dram'!E17-D17</f>
        <v>0</v>
      </c>
      <c r="BA17" s="27">
        <f>P17-'2019dram'!F17-E17</f>
        <v>0</v>
      </c>
      <c r="BB17" s="25">
        <f>Q17-'2019dram'!G17</f>
        <v>0</v>
      </c>
      <c r="BC17" s="25">
        <f>R17-'2019dram'!H17</f>
        <v>0</v>
      </c>
      <c r="BD17" s="25">
        <f>S17-'2019dram'!I17</f>
        <v>0</v>
      </c>
      <c r="BE17" s="25">
        <f>T17-'2019dram'!J17</f>
        <v>0</v>
      </c>
      <c r="BF17" s="25">
        <f>U17-'2019dram'!K17</f>
        <v>0</v>
      </c>
      <c r="BG17" s="25">
        <f>V17-'2019dram'!L17</f>
        <v>0</v>
      </c>
      <c r="BH17" s="25">
        <f>W17-'2019dram'!M17</f>
        <v>0</v>
      </c>
      <c r="BI17" s="25">
        <f>X17-'2019dram'!N17</f>
        <v>0</v>
      </c>
      <c r="BJ17" s="25">
        <f>Y17-'2019dram'!O17</f>
        <v>0</v>
      </c>
      <c r="BK17" s="25">
        <f>Z17-'2019dram'!P17</f>
        <v>0</v>
      </c>
      <c r="BL17" s="25">
        <f>AA17-'2019dram'!Q17</f>
        <v>0</v>
      </c>
      <c r="BM17" s="25">
        <f>AB17-'2019dram'!R17</f>
        <v>0</v>
      </c>
      <c r="BN17" s="25">
        <f>AC17-'2019dram'!S17</f>
        <v>0</v>
      </c>
      <c r="BO17" s="25">
        <f>AD17-'2019dram'!T17</f>
        <v>0</v>
      </c>
      <c r="BP17" s="25">
        <f>AE17-'2019dram'!U17</f>
        <v>0</v>
      </c>
      <c r="BQ17" s="25">
        <f>AF17-'2019dram'!V17-G17</f>
        <v>0</v>
      </c>
      <c r="BR17" s="25">
        <f>AG17-'2019dram'!W17</f>
        <v>0</v>
      </c>
      <c r="BS17" s="25">
        <f>AH17-'2019dram'!X17</f>
        <v>0</v>
      </c>
      <c r="BT17" s="25">
        <f>AI17-'2019dram'!Y17</f>
        <v>0</v>
      </c>
      <c r="BU17" s="232">
        <f>AJ17-'2019dram'!Z17</f>
        <v>0</v>
      </c>
      <c r="BV17" s="233">
        <f t="shared" si="8"/>
        <v>0</v>
      </c>
      <c r="BW17" s="234">
        <f>AM17-'2019dram'!AC17</f>
        <v>0</v>
      </c>
      <c r="BX17" s="26">
        <f>AN17-'2019dram'!AD17-I17</f>
        <v>0</v>
      </c>
      <c r="BY17" s="26">
        <f>AO17-'2019dram'!AE17</f>
        <v>0</v>
      </c>
      <c r="BZ17" s="24">
        <f>AP17-'2019dram'!AF17</f>
        <v>0</v>
      </c>
      <c r="CA17" s="24">
        <f>AQ17-'2019dram'!AG17</f>
        <v>0</v>
      </c>
      <c r="CB17" s="24">
        <f>AR17-'2019dram'!AH17</f>
        <v>0</v>
      </c>
      <c r="CC17" s="91">
        <f>AT17-'2019dram'!AJ17</f>
        <v>0</v>
      </c>
      <c r="CD17" s="236">
        <f t="shared" si="4"/>
        <v>0</v>
      </c>
      <c r="CE17" s="237">
        <f t="shared" si="5"/>
        <v>0</v>
      </c>
      <c r="CF17" s="195"/>
      <c r="CG17" s="196"/>
      <c r="CH17" s="185">
        <f t="shared" si="6"/>
        <v>0</v>
      </c>
      <c r="CI17" s="137">
        <f t="shared" si="7"/>
        <v>3722.3</v>
      </c>
      <c r="CJ17" s="6" t="s">
        <v>16</v>
      </c>
    </row>
    <row r="18" spans="1:87" s="6" customFormat="1" ht="15" customHeight="1">
      <c r="A18" s="369" t="s">
        <v>157</v>
      </c>
      <c r="B18" s="369"/>
      <c r="C18" s="190"/>
      <c r="D18" s="197"/>
      <c r="E18" s="197"/>
      <c r="F18" s="197"/>
      <c r="G18" s="197"/>
      <c r="H18" s="197"/>
      <c r="I18" s="197"/>
      <c r="J18" s="472"/>
      <c r="K18" s="230">
        <f t="shared" si="1"/>
        <v>0</v>
      </c>
      <c r="L18" s="15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91"/>
      <c r="AK18" s="24"/>
      <c r="AL18" s="231">
        <f t="shared" si="0"/>
        <v>0</v>
      </c>
      <c r="AM18" s="231"/>
      <c r="AN18" s="24"/>
      <c r="AO18" s="24"/>
      <c r="AP18" s="24"/>
      <c r="AQ18" s="24"/>
      <c r="AR18" s="25"/>
      <c r="AS18" s="25"/>
      <c r="AT18" s="25"/>
      <c r="AU18" s="27">
        <f t="shared" si="2"/>
        <v>0</v>
      </c>
      <c r="AV18" s="25">
        <f>AL18+AU18</f>
        <v>0</v>
      </c>
      <c r="AW18" s="27">
        <f>L18-'2019dram'!B18-B18</f>
        <v>0</v>
      </c>
      <c r="AX18" s="25">
        <f>M18-'2019dram'!C18</f>
        <v>0</v>
      </c>
      <c r="AY18" s="27">
        <f>N18-'2019dram'!D18-C18</f>
        <v>0</v>
      </c>
      <c r="AZ18" s="25">
        <f>O18-'2019dram'!E18-D18</f>
        <v>0</v>
      </c>
      <c r="BA18" s="25">
        <f>P18-'2019dram'!F18-E18</f>
        <v>0</v>
      </c>
      <c r="BB18" s="25">
        <f>Q18-'2019dram'!G18</f>
        <v>0</v>
      </c>
      <c r="BC18" s="25">
        <f>R18-'2019dram'!H18</f>
        <v>0</v>
      </c>
      <c r="BD18" s="25">
        <f>S18-'2019dram'!I18</f>
        <v>0</v>
      </c>
      <c r="BE18" s="25">
        <f>T18-'2019dram'!J18</f>
        <v>0</v>
      </c>
      <c r="BF18" s="25">
        <f>U18-'2019dram'!K18</f>
        <v>0</v>
      </c>
      <c r="BG18" s="25">
        <f>V18-'2019dram'!L18</f>
        <v>0</v>
      </c>
      <c r="BH18" s="25">
        <f>W18-'2019dram'!M18</f>
        <v>0</v>
      </c>
      <c r="BI18" s="25">
        <f>X18-'2019dram'!N18</f>
        <v>0</v>
      </c>
      <c r="BJ18" s="25">
        <f>Y18-'2019dram'!O18</f>
        <v>0</v>
      </c>
      <c r="BK18" s="25">
        <f>Z18-'2019dram'!P18</f>
        <v>0</v>
      </c>
      <c r="BL18" s="25">
        <f>AA18-'2019dram'!Q18</f>
        <v>0</v>
      </c>
      <c r="BM18" s="25">
        <f>AB18-'2019dram'!R18</f>
        <v>0</v>
      </c>
      <c r="BN18" s="25">
        <f>AC18-'2019dram'!S18</f>
        <v>0</v>
      </c>
      <c r="BO18" s="25">
        <f>AD18-'2019dram'!T18</f>
        <v>0</v>
      </c>
      <c r="BP18" s="25">
        <f>AE18-'2019dram'!U18</f>
        <v>0</v>
      </c>
      <c r="BQ18" s="25">
        <f>AF18-'2019dram'!V18-G18</f>
        <v>0</v>
      </c>
      <c r="BR18" s="25">
        <f>AG18-'2019dram'!W18</f>
        <v>0</v>
      </c>
      <c r="BS18" s="25">
        <f>AH18-'2019dram'!X18</f>
        <v>0</v>
      </c>
      <c r="BT18" s="25">
        <f>AI18-'2019dram'!Y18</f>
        <v>0</v>
      </c>
      <c r="BU18" s="232">
        <f>AJ18-'2019dram'!Z18</f>
        <v>0</v>
      </c>
      <c r="BV18" s="236">
        <f>AW18+AX18+AY18+AZ18+BA18+BB18+BC18+BD18+BE18+BF18+BG18+BH18+BI18+BJ18+BK18+BL18+BM18+BN18+BO18+BP18+BQ18+BR18+BS18+BT18+BU18</f>
        <v>0</v>
      </c>
      <c r="BW18" s="234">
        <f>AM18-'2019dram'!AC18</f>
        <v>0</v>
      </c>
      <c r="BX18" s="26">
        <f>AN18-'2019dram'!AD18-I18</f>
        <v>0</v>
      </c>
      <c r="BY18" s="26">
        <f>AO18-'2019dram'!AE18</f>
        <v>0</v>
      </c>
      <c r="BZ18" s="24">
        <f>AP18-'2019dram'!AF18</f>
        <v>0</v>
      </c>
      <c r="CA18" s="24">
        <f>AQ18-'2019dram'!AG18</f>
        <v>0</v>
      </c>
      <c r="CB18" s="24">
        <f>AR18-'2019dram'!AH18</f>
        <v>0</v>
      </c>
      <c r="CC18" s="91">
        <f>AT18-'2019dram'!AJ18</f>
        <v>0</v>
      </c>
      <c r="CD18" s="236">
        <f>BX18+BY18+BZ18+CA18+CB18+CC18</f>
        <v>0</v>
      </c>
      <c r="CE18" s="237">
        <f>BV18+CD18</f>
        <v>0</v>
      </c>
      <c r="CF18" s="198">
        <v>-1075.4</v>
      </c>
      <c r="CG18" s="196">
        <v>-5029.3</v>
      </c>
      <c r="CH18" s="185">
        <f t="shared" si="6"/>
        <v>-6104.700000000001</v>
      </c>
      <c r="CI18" s="137">
        <f t="shared" si="7"/>
        <v>-6104.700000000001</v>
      </c>
    </row>
    <row r="19" spans="1:87" s="6" customFormat="1" ht="15" customHeight="1" thickBot="1">
      <c r="A19" s="370" t="s">
        <v>156</v>
      </c>
      <c r="B19" s="370"/>
      <c r="C19" s="191"/>
      <c r="D19" s="199"/>
      <c r="E19" s="199"/>
      <c r="F19" s="199"/>
      <c r="G19" s="199"/>
      <c r="H19" s="199"/>
      <c r="I19" s="199"/>
      <c r="J19" s="473"/>
      <c r="K19" s="230">
        <f t="shared" si="1"/>
        <v>0</v>
      </c>
      <c r="L19" s="156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92"/>
      <c r="AD19" s="92"/>
      <c r="AE19" s="92"/>
      <c r="AF19" s="92"/>
      <c r="AG19" s="92"/>
      <c r="AH19" s="92"/>
      <c r="AI19" s="92"/>
      <c r="AJ19" s="93"/>
      <c r="AK19" s="89"/>
      <c r="AL19" s="231">
        <f t="shared" si="0"/>
        <v>0</v>
      </c>
      <c r="AM19" s="421"/>
      <c r="AN19" s="89"/>
      <c r="AO19" s="89"/>
      <c r="AP19" s="89"/>
      <c r="AQ19" s="89"/>
      <c r="AR19" s="92"/>
      <c r="AS19" s="92"/>
      <c r="AT19" s="92"/>
      <c r="AU19" s="27">
        <f t="shared" si="2"/>
        <v>0</v>
      </c>
      <c r="AV19" s="25">
        <f>AL19+AU19</f>
        <v>0</v>
      </c>
      <c r="AW19" s="27">
        <f>L19-'2019dram'!B19-B19</f>
        <v>0</v>
      </c>
      <c r="AX19" s="25">
        <f>M19-'2019dram'!C19</f>
        <v>0</v>
      </c>
      <c r="AY19" s="27">
        <f>N19-'2019dram'!D19-C19</f>
        <v>0</v>
      </c>
      <c r="AZ19" s="25">
        <f>O19-'2019dram'!E19-D19</f>
        <v>0</v>
      </c>
      <c r="BA19" s="25">
        <f>P19-'2019dram'!F19-E19</f>
        <v>0</v>
      </c>
      <c r="BB19" s="25">
        <f>Q19-'2019dram'!G19</f>
        <v>0</v>
      </c>
      <c r="BC19" s="25">
        <f>R19-'2019dram'!H19</f>
        <v>0</v>
      </c>
      <c r="BD19" s="25">
        <f>S19-'2019dram'!I19</f>
        <v>0</v>
      </c>
      <c r="BE19" s="25">
        <f>T19-'2019dram'!J19</f>
        <v>0</v>
      </c>
      <c r="BF19" s="25">
        <f>U19-'2019dram'!K19</f>
        <v>0</v>
      </c>
      <c r="BG19" s="25">
        <f>V19-'2019dram'!L19</f>
        <v>0</v>
      </c>
      <c r="BH19" s="25">
        <f>W19-'2019dram'!M19</f>
        <v>0</v>
      </c>
      <c r="BI19" s="25">
        <f>X19-'2019dram'!N19</f>
        <v>0</v>
      </c>
      <c r="BJ19" s="25">
        <f>Y19-'2019dram'!O19</f>
        <v>0</v>
      </c>
      <c r="BK19" s="25">
        <f>Z19-'2019dram'!P19</f>
        <v>0</v>
      </c>
      <c r="BL19" s="25">
        <f>AA19-'2019dram'!Q19</f>
        <v>0</v>
      </c>
      <c r="BM19" s="25">
        <f>AB19-'2019dram'!R19</f>
        <v>0</v>
      </c>
      <c r="BN19" s="25">
        <f>AC19-'2019dram'!S19</f>
        <v>0</v>
      </c>
      <c r="BO19" s="25">
        <f>AD19-'2019dram'!T19</f>
        <v>0</v>
      </c>
      <c r="BP19" s="25">
        <f>AE19-'2019dram'!U19</f>
        <v>0</v>
      </c>
      <c r="BQ19" s="25">
        <f>AF19-'2019dram'!V19-G19</f>
        <v>0</v>
      </c>
      <c r="BR19" s="25">
        <f>AG19-'2019dram'!W19</f>
        <v>0</v>
      </c>
      <c r="BS19" s="25">
        <f>AH19-'2019dram'!X19</f>
        <v>0</v>
      </c>
      <c r="BT19" s="25">
        <f>AI19-'2019dram'!Y19</f>
        <v>0</v>
      </c>
      <c r="BU19" s="232">
        <f>AJ19-'2019dram'!Z19</f>
        <v>0</v>
      </c>
      <c r="BV19" s="236">
        <f>AW19+AX19+AY19+AZ19+BA19+BB19+BC19+BD19+BE19+BF19+BG19+BH19+BI19+BJ19+BK19+BL19+BM19+BN19+BO19+BP19+BQ19+BR19+BS19+BT19+BU19</f>
        <v>0</v>
      </c>
      <c r="BW19" s="234">
        <f>AM19-'2019dram'!AC19</f>
        <v>0</v>
      </c>
      <c r="BX19" s="26">
        <f>AN19-'2019dram'!AD19-I19</f>
        <v>0</v>
      </c>
      <c r="BY19" s="26">
        <f>AO19-'2019dram'!AE19</f>
        <v>0</v>
      </c>
      <c r="BZ19" s="24">
        <f>AP19-'2019dram'!AF19</f>
        <v>0</v>
      </c>
      <c r="CA19" s="24">
        <f>AQ19-'2019dram'!AG19</f>
        <v>0</v>
      </c>
      <c r="CB19" s="24">
        <f>AR19-'2019dram'!AH19</f>
        <v>0</v>
      </c>
      <c r="CC19" s="91">
        <f>AT19-'2019dram'!AJ19</f>
        <v>0</v>
      </c>
      <c r="CD19" s="236">
        <f>BX19+BY19+BZ19+CA19+CB19+CC19</f>
        <v>0</v>
      </c>
      <c r="CE19" s="237">
        <f>BV19+CD19</f>
        <v>0</v>
      </c>
      <c r="CF19" s="198"/>
      <c r="CG19" s="200"/>
      <c r="CH19" s="201">
        <f t="shared" si="6"/>
        <v>0</v>
      </c>
      <c r="CI19" s="137">
        <f t="shared" si="7"/>
        <v>0</v>
      </c>
    </row>
    <row r="20" spans="1:87" s="6" customFormat="1" ht="26.25" customHeight="1" thickBot="1">
      <c r="A20" s="181" t="s">
        <v>178</v>
      </c>
      <c r="B20" s="422">
        <f>B5+B6+B7+B8+B9+B10+B11+B12+B13+B14+B15+B16+B17+B18+B19</f>
        <v>1402.8999999999999</v>
      </c>
      <c r="C20" s="422">
        <f>C5+C6+C7+C8+C9+C10+C11+C12+C13+C14+C15+C16+C17+C18+C19</f>
        <v>711.9</v>
      </c>
      <c r="D20" s="423">
        <f aca="true" t="shared" si="9" ref="D20:BT20">D5+D6+D7+D8+D9+D10+D11+D12+D13+D14+D15+D16+D17+D18+D19</f>
        <v>5.3</v>
      </c>
      <c r="E20" s="423">
        <f t="shared" si="9"/>
        <v>26.2</v>
      </c>
      <c r="F20" s="423">
        <f t="shared" si="9"/>
        <v>-711.9</v>
      </c>
      <c r="G20" s="423">
        <f t="shared" si="9"/>
        <v>0</v>
      </c>
      <c r="H20" s="423">
        <f t="shared" si="9"/>
        <v>19.5</v>
      </c>
      <c r="I20" s="423">
        <f t="shared" si="9"/>
        <v>-173.6</v>
      </c>
      <c r="J20" s="423">
        <f t="shared" si="9"/>
        <v>-258.9</v>
      </c>
      <c r="K20" s="424">
        <f t="shared" si="9"/>
        <v>1021.3999999999997</v>
      </c>
      <c r="L20" s="425">
        <f t="shared" si="9"/>
        <v>167515.19999999998</v>
      </c>
      <c r="M20" s="426">
        <f t="shared" si="9"/>
        <v>13309.4</v>
      </c>
      <c r="N20" s="423">
        <f t="shared" si="9"/>
        <v>7585.400000000001</v>
      </c>
      <c r="O20" s="423">
        <f t="shared" si="9"/>
        <v>2104.2000000000003</v>
      </c>
      <c r="P20" s="423">
        <f t="shared" si="9"/>
        <v>3167.7</v>
      </c>
      <c r="Q20" s="423">
        <f t="shared" si="9"/>
        <v>258</v>
      </c>
      <c r="R20" s="423">
        <f t="shared" si="9"/>
        <v>1236.2</v>
      </c>
      <c r="S20" s="423">
        <f t="shared" si="9"/>
        <v>0</v>
      </c>
      <c r="T20" s="423">
        <f t="shared" si="9"/>
        <v>779.6</v>
      </c>
      <c r="U20" s="423">
        <f t="shared" si="9"/>
        <v>245</v>
      </c>
      <c r="V20" s="426">
        <f t="shared" si="9"/>
        <v>846.8</v>
      </c>
      <c r="W20" s="423">
        <f t="shared" si="9"/>
        <v>3656.1</v>
      </c>
      <c r="X20" s="423">
        <f t="shared" si="9"/>
        <v>4121.599999999999</v>
      </c>
      <c r="Y20" s="423">
        <f t="shared" si="9"/>
        <v>13206.4</v>
      </c>
      <c r="Z20" s="426">
        <f t="shared" si="9"/>
        <v>1660</v>
      </c>
      <c r="AA20" s="423">
        <f t="shared" si="9"/>
        <v>4055.8</v>
      </c>
      <c r="AB20" s="423">
        <f t="shared" si="9"/>
        <v>300</v>
      </c>
      <c r="AC20" s="423">
        <f t="shared" si="9"/>
        <v>41741.9</v>
      </c>
      <c r="AD20" s="423">
        <f t="shared" si="9"/>
        <v>3095.3</v>
      </c>
      <c r="AE20" s="423">
        <f t="shared" si="9"/>
        <v>-125</v>
      </c>
      <c r="AF20" s="423">
        <f t="shared" si="9"/>
        <v>0</v>
      </c>
      <c r="AG20" s="423">
        <f t="shared" si="9"/>
        <v>0</v>
      </c>
      <c r="AH20" s="423">
        <f t="shared" si="9"/>
        <v>8395.6</v>
      </c>
      <c r="AI20" s="426">
        <f t="shared" si="9"/>
        <v>2110</v>
      </c>
      <c r="AJ20" s="423">
        <f t="shared" si="9"/>
        <v>4943.2</v>
      </c>
      <c r="AK20" s="423">
        <f t="shared" si="9"/>
        <v>0</v>
      </c>
      <c r="AL20" s="423">
        <f>AL5+AL6+AL7+AL8+AL9+AL10+AL11+AL12+AL13+AL14+AL15+AL16+AL17+AL18+AL19</f>
        <v>284208.39999999997</v>
      </c>
      <c r="AM20" s="423">
        <f>AM5+AM6+AM7+AM8+AM9+AM10+AM11+AM12+AM13+AM14+AM15+AM16+AM17+AM18+AM19</f>
        <v>2800</v>
      </c>
      <c r="AN20" s="423">
        <f>AN5+AN6+AN7+AN8+AN9+AN10+AN11+AN12+AN13+AN14+AN15+AN16+AN17+AN18+AN19</f>
        <v>9141.1</v>
      </c>
      <c r="AO20" s="423">
        <f t="shared" si="9"/>
        <v>54349.2</v>
      </c>
      <c r="AP20" s="423">
        <f t="shared" si="9"/>
        <v>4300</v>
      </c>
      <c r="AQ20" s="423">
        <f t="shared" si="9"/>
        <v>238</v>
      </c>
      <c r="AR20" s="423">
        <f t="shared" si="9"/>
        <v>12863.7</v>
      </c>
      <c r="AS20" s="423">
        <f t="shared" si="9"/>
        <v>0</v>
      </c>
      <c r="AT20" s="423">
        <f>AT5+AT6+AT7+AT8+AT9+AT10+AT11+AT12+AT13+AT14+AT15+AT16+AT17+AT18+AT19</f>
        <v>1634</v>
      </c>
      <c r="AU20" s="423">
        <f>AU5+AU6+AU7+AU8+AU9+AU10+AU11+AU12+AU13+AU14+AU15+AU16+AU17+AU18+AU19</f>
        <v>85326</v>
      </c>
      <c r="AV20" s="423">
        <f>AV5+AV6+AV7+AV8+AV9+AV10+AV11+AV12+AV13+AV14+AV15+AV16+AV17+AV18+AV19</f>
        <v>369534.39999999997</v>
      </c>
      <c r="AW20" s="423">
        <f>AW5+AW6+AW7+AW8+AW9+AW10+AW11+AW12+AW13+AW14+AW15+AW16+AW17+AW18+AW19</f>
        <v>3.325340003357269E-12</v>
      </c>
      <c r="AX20" s="423">
        <f t="shared" si="9"/>
        <v>0</v>
      </c>
      <c r="AY20" s="423">
        <f t="shared" si="9"/>
        <v>632.2</v>
      </c>
      <c r="AZ20" s="423">
        <f t="shared" si="9"/>
        <v>6.855627177060342E-14</v>
      </c>
      <c r="BA20" s="423">
        <f t="shared" si="9"/>
        <v>107.70000000000023</v>
      </c>
      <c r="BB20" s="423">
        <f t="shared" si="9"/>
        <v>0</v>
      </c>
      <c r="BC20" s="423">
        <f t="shared" si="9"/>
        <v>0</v>
      </c>
      <c r="BD20" s="423">
        <f t="shared" si="9"/>
        <v>0</v>
      </c>
      <c r="BE20" s="423">
        <f t="shared" si="9"/>
        <v>0</v>
      </c>
      <c r="BF20" s="423">
        <f t="shared" si="9"/>
        <v>0</v>
      </c>
      <c r="BG20" s="423">
        <f t="shared" si="9"/>
        <v>0</v>
      </c>
      <c r="BH20" s="423">
        <f t="shared" si="9"/>
        <v>0</v>
      </c>
      <c r="BI20" s="423">
        <f t="shared" si="9"/>
        <v>0</v>
      </c>
      <c r="BJ20" s="423">
        <f t="shared" si="9"/>
        <v>0</v>
      </c>
      <c r="BK20" s="423">
        <f t="shared" si="9"/>
        <v>0</v>
      </c>
      <c r="BL20" s="423">
        <f t="shared" si="9"/>
        <v>0</v>
      </c>
      <c r="BM20" s="423">
        <f t="shared" si="9"/>
        <v>0</v>
      </c>
      <c r="BN20" s="423">
        <f t="shared" si="9"/>
        <v>0</v>
      </c>
      <c r="BO20" s="423">
        <f t="shared" si="9"/>
        <v>0</v>
      </c>
      <c r="BP20" s="423">
        <f t="shared" si="9"/>
        <v>0</v>
      </c>
      <c r="BQ20" s="423">
        <f t="shared" si="9"/>
        <v>0</v>
      </c>
      <c r="BR20" s="423">
        <f t="shared" si="9"/>
        <v>0</v>
      </c>
      <c r="BS20" s="423">
        <f t="shared" si="9"/>
        <v>0</v>
      </c>
      <c r="BT20" s="423">
        <f t="shared" si="9"/>
        <v>0</v>
      </c>
      <c r="BU20" s="427">
        <f aca="true" t="shared" si="10" ref="BU20:CH20">BU5+BU6+BU7+BU8+BU9+BU10+BU11+BU12+BU13+BU14+BU15+BU16+BU17+BU18+BU19</f>
        <v>0</v>
      </c>
      <c r="BV20" s="428">
        <f>BV5+BV6+BV7+BV8+BV9+BV10+BV11+BV12+BV13+BV14+BV15+BV16+BV17+BV18+BV19</f>
        <v>739.9000000000036</v>
      </c>
      <c r="BW20" s="425">
        <f>BW5+BW6+BW7+BW8+BW9+BW10+BW11+BW12+BW13+BW14+BW15+BW16+BW17+BW18+BW19</f>
        <v>0</v>
      </c>
      <c r="BX20" s="423">
        <f>BX5+BX6+BX7+BX8+BX9+BX10+BX11+BX12+BX13+BX14+BX15+BX16+BX17+BX18+BX19</f>
        <v>590.4999999999997</v>
      </c>
      <c r="BY20" s="423">
        <f>BY5+BY6+BY7+BY8+BY9+BY10+BY11+BY12+BY13+BY14+BY15+BY16+BY17+BY18+BY19</f>
        <v>2360.6000000000026</v>
      </c>
      <c r="BZ20" s="423">
        <f>BZ5+BZ6+BZ7+BZ8+BZ9+BZ10+BZ11+BZ12+BZ13+BZ14+BZ15+BZ16+BZ17+BZ18+BZ19</f>
        <v>0</v>
      </c>
      <c r="CA20" s="423">
        <f t="shared" si="10"/>
        <v>0</v>
      </c>
      <c r="CB20" s="423">
        <f t="shared" si="10"/>
        <v>0</v>
      </c>
      <c r="CC20" s="429">
        <f t="shared" si="10"/>
        <v>0</v>
      </c>
      <c r="CD20" s="428">
        <f t="shared" si="10"/>
        <v>2951.100000000002</v>
      </c>
      <c r="CE20" s="428">
        <f t="shared" si="10"/>
        <v>3691.000000000006</v>
      </c>
      <c r="CF20" s="425">
        <f t="shared" si="10"/>
        <v>-1075.4</v>
      </c>
      <c r="CG20" s="423">
        <f t="shared" si="10"/>
        <v>-5029.3</v>
      </c>
      <c r="CH20" s="427">
        <f t="shared" si="10"/>
        <v>-6104.700000000001</v>
      </c>
      <c r="CI20" s="428">
        <f>CI5+CI6+CI7+CI8+CI9+CI10+CI11+CI12+CI13+CI14+CI15+CI16+CI17+CI18+CI19</f>
        <v>363429.69999999995</v>
      </c>
    </row>
    <row r="21" spans="1:88" s="7" customFormat="1" ht="15.75" customHeight="1">
      <c r="A21" s="296" t="s">
        <v>187</v>
      </c>
      <c r="B21" s="202"/>
      <c r="C21" s="202"/>
      <c r="D21" s="203"/>
      <c r="E21" s="203"/>
      <c r="F21" s="203"/>
      <c r="G21" s="203">
        <f>'hoaki past19'!G4</f>
        <v>104.8</v>
      </c>
      <c r="H21" s="203"/>
      <c r="I21" s="204"/>
      <c r="J21" s="474"/>
      <c r="K21" s="230">
        <f t="shared" si="1"/>
        <v>104.8</v>
      </c>
      <c r="L21" s="205"/>
      <c r="M21" s="186"/>
      <c r="N21" s="186"/>
      <c r="O21" s="186"/>
      <c r="P21" s="186"/>
      <c r="Q21" s="186"/>
      <c r="R21" s="186"/>
      <c r="S21" s="186"/>
      <c r="T21" s="186"/>
      <c r="U21" s="186"/>
      <c r="V21" s="186"/>
      <c r="W21" s="186"/>
      <c r="X21" s="186"/>
      <c r="Y21" s="186"/>
      <c r="Z21" s="186"/>
      <c r="AA21" s="186"/>
      <c r="AB21" s="186"/>
      <c r="AC21" s="186"/>
      <c r="AD21" s="186"/>
      <c r="AE21" s="186"/>
      <c r="AF21" s="186">
        <f>'hoaki past19'!J4</f>
        <v>24207.199999999997</v>
      </c>
      <c r="AG21" s="186"/>
      <c r="AH21" s="186"/>
      <c r="AI21" s="186"/>
      <c r="AJ21" s="187"/>
      <c r="AK21" s="186"/>
      <c r="AL21" s="231">
        <f aca="true" t="shared" si="11" ref="AL21:AL32">L21+M21+N21+O21+P21+Q21+R21+S21+T21+U21+V21+W21+X21+Y21+Z21+AA21+AB21+AC21+AD21+AE21+AF21+AG21+AH21+AI21+AJ21</f>
        <v>24207.199999999997</v>
      </c>
      <c r="AM21" s="231"/>
      <c r="AN21" s="186"/>
      <c r="AO21" s="186"/>
      <c r="AP21" s="186"/>
      <c r="AQ21" s="186"/>
      <c r="AR21" s="186"/>
      <c r="AS21" s="186"/>
      <c r="AT21" s="186"/>
      <c r="AU21" s="27">
        <f t="shared" si="2"/>
        <v>0</v>
      </c>
      <c r="AV21" s="27">
        <f t="shared" si="3"/>
        <v>24207.199999999997</v>
      </c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>
        <f>AE21-'2019dram'!U21</f>
        <v>0</v>
      </c>
      <c r="BQ21" s="27">
        <f>AF21-'2019dram'!V21-G21</f>
        <v>-7.90000000000218</v>
      </c>
      <c r="BR21" s="27">
        <f>AG21-'2019dram'!W21</f>
        <v>0</v>
      </c>
      <c r="BS21" s="27">
        <f>AH21-'2019dram'!X21</f>
        <v>0</v>
      </c>
      <c r="BT21" s="27">
        <f>AI21-'2019dram'!Y21</f>
        <v>0</v>
      </c>
      <c r="BU21" s="27">
        <f>AJ21-'2019dram'!Z21</f>
        <v>0</v>
      </c>
      <c r="BV21" s="233">
        <f t="shared" si="8"/>
        <v>-7.90000000000218</v>
      </c>
      <c r="BW21" s="430"/>
      <c r="BX21" s="27">
        <f>AM21-'2019dram'!AC21</f>
        <v>0</v>
      </c>
      <c r="BY21" s="206"/>
      <c r="BZ21" s="206"/>
      <c r="CA21" s="206"/>
      <c r="CB21" s="206"/>
      <c r="CC21" s="207"/>
      <c r="CD21" s="179"/>
      <c r="CE21" s="235">
        <f t="shared" si="5"/>
        <v>-7.90000000000218</v>
      </c>
      <c r="CF21" s="195"/>
      <c r="CG21" s="196"/>
      <c r="CH21" s="185">
        <f t="shared" si="6"/>
        <v>0</v>
      </c>
      <c r="CI21" s="137">
        <f t="shared" si="7"/>
        <v>24207.199999999997</v>
      </c>
      <c r="CJ21" s="208"/>
    </row>
    <row r="22" spans="1:88" s="7" customFormat="1" ht="15.75" customHeight="1">
      <c r="A22" s="296" t="s">
        <v>188</v>
      </c>
      <c r="B22" s="209"/>
      <c r="C22" s="209"/>
      <c r="D22" s="204"/>
      <c r="E22" s="204"/>
      <c r="F22" s="204"/>
      <c r="G22" s="203">
        <f>'hoaki past19'!G5</f>
        <v>4.1</v>
      </c>
      <c r="H22" s="203"/>
      <c r="I22" s="204"/>
      <c r="J22" s="474"/>
      <c r="K22" s="230">
        <f t="shared" si="1"/>
        <v>4.1</v>
      </c>
      <c r="L22" s="210"/>
      <c r="M22" s="182"/>
      <c r="N22" s="182"/>
      <c r="O22" s="182"/>
      <c r="P22" s="182"/>
      <c r="Q22" s="182"/>
      <c r="R22" s="182"/>
      <c r="S22" s="182"/>
      <c r="T22" s="182"/>
      <c r="U22" s="182"/>
      <c r="V22" s="182"/>
      <c r="W22" s="182"/>
      <c r="X22" s="182"/>
      <c r="Y22" s="182"/>
      <c r="Z22" s="182"/>
      <c r="AA22" s="182"/>
      <c r="AB22" s="182"/>
      <c r="AC22" s="182"/>
      <c r="AD22" s="182"/>
      <c r="AE22" s="182"/>
      <c r="AF22" s="186">
        <f>'hoaki past19'!J5</f>
        <v>18647.5</v>
      </c>
      <c r="AG22" s="182"/>
      <c r="AH22" s="182"/>
      <c r="AI22" s="182"/>
      <c r="AJ22" s="183"/>
      <c r="AK22" s="186"/>
      <c r="AL22" s="231">
        <f t="shared" si="11"/>
        <v>18647.5</v>
      </c>
      <c r="AM22" s="231"/>
      <c r="AN22" s="182"/>
      <c r="AO22" s="182"/>
      <c r="AP22" s="182"/>
      <c r="AQ22" s="182"/>
      <c r="AR22" s="182"/>
      <c r="AS22" s="182"/>
      <c r="AT22" s="182"/>
      <c r="AU22" s="27">
        <f t="shared" si="2"/>
        <v>0</v>
      </c>
      <c r="AV22" s="27">
        <f t="shared" si="3"/>
        <v>18647.5</v>
      </c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>
        <f>AE22-'2019dram'!U22</f>
        <v>0</v>
      </c>
      <c r="BQ22" s="27">
        <f>AF22-'2019dram'!V22-G22</f>
        <v>-2.5999999999999996</v>
      </c>
      <c r="BR22" s="27">
        <f>AG22-'2019dram'!W22</f>
        <v>0</v>
      </c>
      <c r="BS22" s="27">
        <f>AH22-'2019dram'!X22</f>
        <v>0</v>
      </c>
      <c r="BT22" s="27">
        <f>AI22-'2019dram'!Y22</f>
        <v>0</v>
      </c>
      <c r="BU22" s="27">
        <f>AJ22-'2019dram'!Z22</f>
        <v>0</v>
      </c>
      <c r="BV22" s="233">
        <f t="shared" si="8"/>
        <v>-2.5999999999999996</v>
      </c>
      <c r="BW22" s="430"/>
      <c r="BX22" s="206"/>
      <c r="BY22" s="206"/>
      <c r="BZ22" s="206"/>
      <c r="CA22" s="206"/>
      <c r="CB22" s="206"/>
      <c r="CC22" s="207"/>
      <c r="CD22" s="179"/>
      <c r="CE22" s="235">
        <f t="shared" si="5"/>
        <v>-2.5999999999999996</v>
      </c>
      <c r="CF22" s="195"/>
      <c r="CG22" s="196"/>
      <c r="CH22" s="185">
        <f t="shared" si="6"/>
        <v>0</v>
      </c>
      <c r="CI22" s="137">
        <f t="shared" si="7"/>
        <v>18647.5</v>
      </c>
      <c r="CJ22" s="208"/>
    </row>
    <row r="23" spans="1:88" s="7" customFormat="1" ht="15.75" customHeight="1">
      <c r="A23" s="296" t="s">
        <v>189</v>
      </c>
      <c r="B23" s="211"/>
      <c r="C23" s="211"/>
      <c r="D23" s="212"/>
      <c r="E23" s="212"/>
      <c r="F23" s="204"/>
      <c r="G23" s="203">
        <f>'hoaki past19'!G6</f>
        <v>4</v>
      </c>
      <c r="H23" s="203"/>
      <c r="I23" s="204"/>
      <c r="J23" s="474"/>
      <c r="K23" s="230">
        <f t="shared" si="1"/>
        <v>4</v>
      </c>
      <c r="L23" s="210"/>
      <c r="M23" s="182"/>
      <c r="N23" s="182"/>
      <c r="O23" s="182"/>
      <c r="P23" s="182"/>
      <c r="Q23" s="182"/>
      <c r="R23" s="182"/>
      <c r="S23" s="182"/>
      <c r="T23" s="182"/>
      <c r="U23" s="182"/>
      <c r="V23" s="182"/>
      <c r="W23" s="182"/>
      <c r="X23" s="182"/>
      <c r="Y23" s="182"/>
      <c r="Z23" s="182"/>
      <c r="AA23" s="182"/>
      <c r="AB23" s="182"/>
      <c r="AC23" s="182"/>
      <c r="AD23" s="182"/>
      <c r="AE23" s="182"/>
      <c r="AF23" s="186">
        <f>'hoaki past19'!J6</f>
        <v>19327.399999999998</v>
      </c>
      <c r="AG23" s="182"/>
      <c r="AH23" s="182"/>
      <c r="AI23" s="182"/>
      <c r="AJ23" s="183"/>
      <c r="AK23" s="186"/>
      <c r="AL23" s="231">
        <f t="shared" si="11"/>
        <v>19327.399999999998</v>
      </c>
      <c r="AM23" s="231"/>
      <c r="AN23" s="182"/>
      <c r="AO23" s="182"/>
      <c r="AP23" s="182"/>
      <c r="AQ23" s="182"/>
      <c r="AR23" s="182"/>
      <c r="AS23" s="182"/>
      <c r="AT23" s="182"/>
      <c r="AU23" s="27">
        <f t="shared" si="2"/>
        <v>0</v>
      </c>
      <c r="AV23" s="27">
        <f t="shared" si="3"/>
        <v>19327.399999999998</v>
      </c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>
        <f>AE23-'2019dram'!U23</f>
        <v>0</v>
      </c>
      <c r="BQ23" s="27">
        <f>AF23-'2019dram'!V23-G23</f>
        <v>-0.10000000000218279</v>
      </c>
      <c r="BR23" s="27">
        <f>AG23-'2019dram'!W23</f>
        <v>0</v>
      </c>
      <c r="BS23" s="27">
        <f>AH23-'2019dram'!X23</f>
        <v>0</v>
      </c>
      <c r="BT23" s="27">
        <f>AI23-'2019dram'!Y23</f>
        <v>0</v>
      </c>
      <c r="BU23" s="27">
        <f>AJ23-'2019dram'!Z23</f>
        <v>0</v>
      </c>
      <c r="BV23" s="233">
        <f t="shared" si="8"/>
        <v>-0.10000000000218279</v>
      </c>
      <c r="BW23" s="430"/>
      <c r="BX23" s="206"/>
      <c r="BY23" s="206"/>
      <c r="BZ23" s="206"/>
      <c r="CA23" s="206"/>
      <c r="CB23" s="206"/>
      <c r="CC23" s="207"/>
      <c r="CD23" s="179"/>
      <c r="CE23" s="235">
        <f t="shared" si="5"/>
        <v>-0.10000000000218279</v>
      </c>
      <c r="CF23" s="195"/>
      <c r="CG23" s="196"/>
      <c r="CH23" s="185">
        <f t="shared" si="6"/>
        <v>0</v>
      </c>
      <c r="CI23" s="137">
        <f t="shared" si="7"/>
        <v>19327.399999999998</v>
      </c>
      <c r="CJ23" s="208"/>
    </row>
    <row r="24" spans="1:88" s="7" customFormat="1" ht="15.75" customHeight="1">
      <c r="A24" s="296" t="s">
        <v>190</v>
      </c>
      <c r="B24" s="211"/>
      <c r="C24" s="211"/>
      <c r="D24" s="212"/>
      <c r="E24" s="212"/>
      <c r="F24" s="204"/>
      <c r="G24" s="203">
        <f>'hoaki past19'!G7</f>
        <v>346.99999999999994</v>
      </c>
      <c r="H24" s="203"/>
      <c r="I24" s="204"/>
      <c r="J24" s="474"/>
      <c r="K24" s="230">
        <f t="shared" si="1"/>
        <v>346.99999999999994</v>
      </c>
      <c r="L24" s="210"/>
      <c r="M24" s="182"/>
      <c r="N24" s="182"/>
      <c r="O24" s="182"/>
      <c r="P24" s="182"/>
      <c r="Q24" s="182"/>
      <c r="R24" s="182"/>
      <c r="S24" s="182"/>
      <c r="T24" s="182"/>
      <c r="U24" s="182"/>
      <c r="V24" s="182"/>
      <c r="W24" s="182"/>
      <c r="X24" s="182"/>
      <c r="Y24" s="182"/>
      <c r="Z24" s="182"/>
      <c r="AA24" s="182"/>
      <c r="AB24" s="182"/>
      <c r="AC24" s="182"/>
      <c r="AD24" s="182"/>
      <c r="AE24" s="182"/>
      <c r="AF24" s="186">
        <f>'hoaki past19'!J7</f>
        <v>32128.1</v>
      </c>
      <c r="AG24" s="182"/>
      <c r="AH24" s="182"/>
      <c r="AI24" s="182"/>
      <c r="AJ24" s="183"/>
      <c r="AK24" s="186"/>
      <c r="AL24" s="231">
        <f t="shared" si="11"/>
        <v>32128.1</v>
      </c>
      <c r="AM24" s="231"/>
      <c r="AN24" s="182"/>
      <c r="AO24" s="182"/>
      <c r="AP24" s="182"/>
      <c r="AQ24" s="182"/>
      <c r="AR24" s="182"/>
      <c r="AS24" s="182"/>
      <c r="AT24" s="182"/>
      <c r="AU24" s="27">
        <f t="shared" si="2"/>
        <v>0</v>
      </c>
      <c r="AV24" s="27">
        <f t="shared" si="3"/>
        <v>32128.1</v>
      </c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>
        <f>AE24-'2019dram'!U24</f>
        <v>0</v>
      </c>
      <c r="BQ24" s="27">
        <f>AF24-'2019dram'!V24-G24</f>
        <v>-178.20000000000067</v>
      </c>
      <c r="BR24" s="27">
        <f>AG24-'2019dram'!W24</f>
        <v>0</v>
      </c>
      <c r="BS24" s="27">
        <f>AH24-'2019dram'!X24</f>
        <v>0</v>
      </c>
      <c r="BT24" s="27">
        <f>AI24-'2019dram'!Y24</f>
        <v>0</v>
      </c>
      <c r="BU24" s="27">
        <f>AJ24-'2019dram'!Z24</f>
        <v>0</v>
      </c>
      <c r="BV24" s="233">
        <f t="shared" si="8"/>
        <v>-178.20000000000067</v>
      </c>
      <c r="BW24" s="430"/>
      <c r="BX24" s="206"/>
      <c r="BY24" s="206"/>
      <c r="BZ24" s="206"/>
      <c r="CA24" s="206"/>
      <c r="CB24" s="206"/>
      <c r="CC24" s="207"/>
      <c r="CD24" s="179"/>
      <c r="CE24" s="235">
        <f t="shared" si="5"/>
        <v>-178.20000000000067</v>
      </c>
      <c r="CF24" s="195"/>
      <c r="CG24" s="196"/>
      <c r="CH24" s="185">
        <f t="shared" si="6"/>
        <v>0</v>
      </c>
      <c r="CI24" s="137">
        <f t="shared" si="7"/>
        <v>32128.1</v>
      </c>
      <c r="CJ24" s="208"/>
    </row>
    <row r="25" spans="1:88" s="7" customFormat="1" ht="15.75" customHeight="1">
      <c r="A25" s="296" t="s">
        <v>191</v>
      </c>
      <c r="B25" s="211"/>
      <c r="C25" s="211"/>
      <c r="D25" s="212"/>
      <c r="E25" s="212"/>
      <c r="F25" s="204"/>
      <c r="G25" s="203">
        <f>'hoaki past19'!G8</f>
        <v>6.7</v>
      </c>
      <c r="H25" s="203"/>
      <c r="I25" s="204"/>
      <c r="J25" s="474"/>
      <c r="K25" s="230">
        <f t="shared" si="1"/>
        <v>6.7</v>
      </c>
      <c r="L25" s="210"/>
      <c r="M25" s="182"/>
      <c r="N25" s="182"/>
      <c r="O25" s="182"/>
      <c r="P25" s="182"/>
      <c r="Q25" s="182"/>
      <c r="R25" s="182"/>
      <c r="S25" s="182"/>
      <c r="T25" s="182"/>
      <c r="U25" s="182"/>
      <c r="V25" s="208"/>
      <c r="W25" s="182"/>
      <c r="X25" s="182"/>
      <c r="Y25" s="182"/>
      <c r="Z25" s="182"/>
      <c r="AA25" s="182"/>
      <c r="AB25" s="182"/>
      <c r="AC25" s="182"/>
      <c r="AD25" s="182"/>
      <c r="AE25" s="182"/>
      <c r="AF25" s="186">
        <f>'hoaki past19'!J8</f>
        <v>19016.700000000004</v>
      </c>
      <c r="AG25" s="182"/>
      <c r="AH25" s="182"/>
      <c r="AI25" s="182"/>
      <c r="AJ25" s="183"/>
      <c r="AK25" s="186"/>
      <c r="AL25" s="231">
        <f t="shared" si="11"/>
        <v>19016.700000000004</v>
      </c>
      <c r="AM25" s="231"/>
      <c r="AN25" s="182"/>
      <c r="AO25" s="182"/>
      <c r="AP25" s="182"/>
      <c r="AQ25" s="182"/>
      <c r="AR25" s="182"/>
      <c r="AS25" s="182"/>
      <c r="AT25" s="182"/>
      <c r="AU25" s="27">
        <f t="shared" si="2"/>
        <v>0</v>
      </c>
      <c r="AV25" s="27">
        <f t="shared" si="3"/>
        <v>19016.700000000004</v>
      </c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>
        <f>AE25-'2019dram'!U25</f>
        <v>0</v>
      </c>
      <c r="BQ25" s="27">
        <f>AF25-'2019dram'!V25-G25</f>
        <v>-10.199999999996361</v>
      </c>
      <c r="BR25" s="27">
        <f>AG25-'2019dram'!W25</f>
        <v>0</v>
      </c>
      <c r="BS25" s="27">
        <f>AH25-'2019dram'!X25</f>
        <v>0</v>
      </c>
      <c r="BT25" s="27">
        <f>AI25-'2019dram'!Y25</f>
        <v>0</v>
      </c>
      <c r="BU25" s="27">
        <f>AJ25-'2019dram'!Z25</f>
        <v>0</v>
      </c>
      <c r="BV25" s="233">
        <f t="shared" si="8"/>
        <v>-10.199999999996361</v>
      </c>
      <c r="BW25" s="430"/>
      <c r="BX25" s="206"/>
      <c r="BY25" s="206"/>
      <c r="BZ25" s="206"/>
      <c r="CA25" s="206"/>
      <c r="CB25" s="206"/>
      <c r="CC25" s="207"/>
      <c r="CD25" s="179"/>
      <c r="CE25" s="235">
        <f t="shared" si="5"/>
        <v>-10.199999999996361</v>
      </c>
      <c r="CF25" s="195"/>
      <c r="CG25" s="196"/>
      <c r="CH25" s="185">
        <f t="shared" si="6"/>
        <v>0</v>
      </c>
      <c r="CI25" s="137">
        <f t="shared" si="7"/>
        <v>19016.700000000004</v>
      </c>
      <c r="CJ25" s="208"/>
    </row>
    <row r="26" spans="1:88" s="7" customFormat="1" ht="15.75" customHeight="1">
      <c r="A26" s="296" t="s">
        <v>192</v>
      </c>
      <c r="B26" s="211"/>
      <c r="C26" s="211"/>
      <c r="D26" s="212"/>
      <c r="E26" s="212"/>
      <c r="F26" s="204"/>
      <c r="G26" s="203">
        <f>'hoaki past19'!G9</f>
        <v>2.8</v>
      </c>
      <c r="H26" s="203"/>
      <c r="I26" s="204"/>
      <c r="J26" s="474"/>
      <c r="K26" s="230">
        <f t="shared" si="1"/>
        <v>2.8</v>
      </c>
      <c r="L26" s="210"/>
      <c r="M26" s="182"/>
      <c r="N26" s="182"/>
      <c r="O26" s="182"/>
      <c r="P26" s="182"/>
      <c r="Q26" s="182"/>
      <c r="R26" s="182"/>
      <c r="S26" s="182"/>
      <c r="T26" s="182"/>
      <c r="U26" s="182"/>
      <c r="V26" s="182"/>
      <c r="W26" s="182"/>
      <c r="X26" s="182"/>
      <c r="Y26" s="182"/>
      <c r="Z26" s="182"/>
      <c r="AA26" s="182"/>
      <c r="AB26" s="182"/>
      <c r="AC26" s="182"/>
      <c r="AD26" s="182"/>
      <c r="AE26" s="182"/>
      <c r="AF26" s="186">
        <f>'hoaki past19'!J9</f>
        <v>24319.999999999996</v>
      </c>
      <c r="AG26" s="182"/>
      <c r="AH26" s="182"/>
      <c r="AI26" s="182"/>
      <c r="AJ26" s="183"/>
      <c r="AK26" s="186"/>
      <c r="AL26" s="231">
        <f t="shared" si="11"/>
        <v>24319.999999999996</v>
      </c>
      <c r="AM26" s="231"/>
      <c r="AN26" s="182"/>
      <c r="AO26" s="182"/>
      <c r="AP26" s="182"/>
      <c r="AQ26" s="182"/>
      <c r="AR26" s="182"/>
      <c r="AS26" s="182"/>
      <c r="AT26" s="182"/>
      <c r="AU26" s="27">
        <f t="shared" si="2"/>
        <v>0</v>
      </c>
      <c r="AV26" s="27">
        <f t="shared" si="3"/>
        <v>24319.999999999996</v>
      </c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>
        <f>AE26-'2019dram'!U26</f>
        <v>0</v>
      </c>
      <c r="BQ26" s="27">
        <f>AF26-'2019dram'!V26-G26</f>
        <v>-2.10000000000291</v>
      </c>
      <c r="BR26" s="27">
        <f>AG26-'2019dram'!W26</f>
        <v>0</v>
      </c>
      <c r="BS26" s="27">
        <f>AH26-'2019dram'!X26</f>
        <v>0</v>
      </c>
      <c r="BT26" s="27">
        <f>AI26-'2019dram'!Y26</f>
        <v>0</v>
      </c>
      <c r="BU26" s="27">
        <f>AJ26-'2019dram'!Z26</f>
        <v>0</v>
      </c>
      <c r="BV26" s="233">
        <f t="shared" si="8"/>
        <v>-2.10000000000291</v>
      </c>
      <c r="BW26" s="430"/>
      <c r="BX26" s="206"/>
      <c r="BY26" s="206"/>
      <c r="BZ26" s="206"/>
      <c r="CA26" s="206"/>
      <c r="CB26" s="206"/>
      <c r="CC26" s="207"/>
      <c r="CD26" s="179"/>
      <c r="CE26" s="235">
        <f t="shared" si="5"/>
        <v>-2.10000000000291</v>
      </c>
      <c r="CF26" s="195"/>
      <c r="CG26" s="196"/>
      <c r="CH26" s="185">
        <f t="shared" si="6"/>
        <v>0</v>
      </c>
      <c r="CI26" s="137">
        <f t="shared" si="7"/>
        <v>24319.999999999996</v>
      </c>
      <c r="CJ26" s="208"/>
    </row>
    <row r="27" spans="1:88" s="7" customFormat="1" ht="15.75" customHeight="1">
      <c r="A27" s="296" t="s">
        <v>193</v>
      </c>
      <c r="B27" s="211"/>
      <c r="C27" s="211"/>
      <c r="D27" s="212"/>
      <c r="E27" s="212"/>
      <c r="F27" s="204"/>
      <c r="G27" s="203">
        <f>'hoaki past19'!G10</f>
        <v>20.700000000000003</v>
      </c>
      <c r="H27" s="203"/>
      <c r="I27" s="204"/>
      <c r="J27" s="474"/>
      <c r="K27" s="230">
        <f t="shared" si="1"/>
        <v>20.700000000000003</v>
      </c>
      <c r="L27" s="210"/>
      <c r="M27" s="182"/>
      <c r="N27" s="182"/>
      <c r="O27" s="182"/>
      <c r="P27" s="182"/>
      <c r="Q27" s="182"/>
      <c r="R27" s="182"/>
      <c r="S27" s="182"/>
      <c r="T27" s="182"/>
      <c r="U27" s="182"/>
      <c r="V27" s="182"/>
      <c r="W27" s="182"/>
      <c r="X27" s="182"/>
      <c r="Y27" s="182"/>
      <c r="Z27" s="182"/>
      <c r="AA27" s="182"/>
      <c r="AB27" s="182"/>
      <c r="AC27" s="182"/>
      <c r="AD27" s="182"/>
      <c r="AE27" s="182"/>
      <c r="AF27" s="186">
        <f>'hoaki past19'!J10</f>
        <v>24710.299999999996</v>
      </c>
      <c r="AG27" s="182"/>
      <c r="AH27" s="182"/>
      <c r="AI27" s="182"/>
      <c r="AJ27" s="183"/>
      <c r="AK27" s="186"/>
      <c r="AL27" s="231">
        <f t="shared" si="11"/>
        <v>24710.299999999996</v>
      </c>
      <c r="AM27" s="231"/>
      <c r="AN27" s="182"/>
      <c r="AO27" s="182"/>
      <c r="AP27" s="182"/>
      <c r="AQ27" s="182"/>
      <c r="AR27" s="182"/>
      <c r="AS27" s="182"/>
      <c r="AT27" s="182"/>
      <c r="AU27" s="27">
        <f t="shared" si="2"/>
        <v>0</v>
      </c>
      <c r="AV27" s="27">
        <f t="shared" si="3"/>
        <v>24710.299999999996</v>
      </c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>
        <f>AE27-'2019dram'!U27</f>
        <v>0</v>
      </c>
      <c r="BQ27" s="27">
        <f>AF27-'2019dram'!V27-G27</f>
        <v>-39.20000000000364</v>
      </c>
      <c r="BR27" s="27">
        <f>AG27-'2019dram'!W27</f>
        <v>0</v>
      </c>
      <c r="BS27" s="27">
        <f>AH27-'2019dram'!X27</f>
        <v>0</v>
      </c>
      <c r="BT27" s="27">
        <f>AI27-'2019dram'!Y27</f>
        <v>0</v>
      </c>
      <c r="BU27" s="27">
        <f>AJ27-'2019dram'!Z27</f>
        <v>0</v>
      </c>
      <c r="BV27" s="233">
        <f t="shared" si="8"/>
        <v>-39.20000000000364</v>
      </c>
      <c r="BW27" s="430"/>
      <c r="BX27" s="206"/>
      <c r="BY27" s="206"/>
      <c r="BZ27" s="206"/>
      <c r="CA27" s="206"/>
      <c r="CB27" s="206"/>
      <c r="CC27" s="207"/>
      <c r="CD27" s="179"/>
      <c r="CE27" s="235">
        <f t="shared" si="5"/>
        <v>-39.20000000000364</v>
      </c>
      <c r="CF27" s="195"/>
      <c r="CG27" s="196"/>
      <c r="CH27" s="185">
        <f t="shared" si="6"/>
        <v>0</v>
      </c>
      <c r="CI27" s="137">
        <f t="shared" si="7"/>
        <v>24710.299999999996</v>
      </c>
      <c r="CJ27" s="208"/>
    </row>
    <row r="28" spans="1:88" s="7" customFormat="1" ht="15.75" customHeight="1">
      <c r="A28" s="296" t="s">
        <v>194</v>
      </c>
      <c r="B28" s="211"/>
      <c r="C28" s="211"/>
      <c r="D28" s="212"/>
      <c r="E28" s="212"/>
      <c r="F28" s="204"/>
      <c r="G28" s="203">
        <f>'hoaki past19'!G11</f>
        <v>77.6</v>
      </c>
      <c r="H28" s="203"/>
      <c r="I28" s="204"/>
      <c r="J28" s="474"/>
      <c r="K28" s="230">
        <f t="shared" si="1"/>
        <v>77.6</v>
      </c>
      <c r="L28" s="210"/>
      <c r="M28" s="182"/>
      <c r="N28" s="182"/>
      <c r="O28" s="182"/>
      <c r="P28" s="182"/>
      <c r="Q28" s="182"/>
      <c r="R28" s="182"/>
      <c r="S28" s="182"/>
      <c r="T28" s="182"/>
      <c r="U28" s="182"/>
      <c r="V28" s="182"/>
      <c r="W28" s="182"/>
      <c r="X28" s="182"/>
      <c r="Y28" s="182"/>
      <c r="Z28" s="182"/>
      <c r="AA28" s="182"/>
      <c r="AB28" s="182"/>
      <c r="AC28" s="182"/>
      <c r="AD28" s="182"/>
      <c r="AE28" s="182"/>
      <c r="AF28" s="186">
        <f>'hoaki past19'!J11</f>
        <v>32293.899999999998</v>
      </c>
      <c r="AG28" s="182"/>
      <c r="AH28" s="182"/>
      <c r="AI28" s="182"/>
      <c r="AJ28" s="183"/>
      <c r="AK28" s="186"/>
      <c r="AL28" s="231">
        <f t="shared" si="11"/>
        <v>32293.899999999998</v>
      </c>
      <c r="AM28" s="231"/>
      <c r="AN28" s="182"/>
      <c r="AO28" s="182"/>
      <c r="AP28" s="182"/>
      <c r="AQ28" s="182"/>
      <c r="AR28" s="182"/>
      <c r="AS28" s="182"/>
      <c r="AT28" s="182"/>
      <c r="AU28" s="27">
        <f t="shared" si="2"/>
        <v>0</v>
      </c>
      <c r="AV28" s="27">
        <f t="shared" si="3"/>
        <v>32293.899999999998</v>
      </c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>
        <f>AE28-'2019dram'!U28</f>
        <v>0</v>
      </c>
      <c r="BQ28" s="27">
        <f>AF28-'2019dram'!V28-G28</f>
        <v>-57.30000000000072</v>
      </c>
      <c r="BR28" s="27">
        <f>AG28-'2019dram'!W28</f>
        <v>0</v>
      </c>
      <c r="BS28" s="27">
        <f>AH28-'2019dram'!X28</f>
        <v>0</v>
      </c>
      <c r="BT28" s="27">
        <f>AI28-'2019dram'!Y28</f>
        <v>0</v>
      </c>
      <c r="BU28" s="27">
        <f>AJ28-'2019dram'!Z28</f>
        <v>0</v>
      </c>
      <c r="BV28" s="233">
        <f t="shared" si="8"/>
        <v>-57.30000000000072</v>
      </c>
      <c r="BW28" s="430"/>
      <c r="BX28" s="206"/>
      <c r="BY28" s="206"/>
      <c r="BZ28" s="206"/>
      <c r="CA28" s="206"/>
      <c r="CB28" s="206"/>
      <c r="CC28" s="207"/>
      <c r="CD28" s="179"/>
      <c r="CE28" s="235">
        <f t="shared" si="5"/>
        <v>-57.30000000000072</v>
      </c>
      <c r="CF28" s="195"/>
      <c r="CG28" s="196"/>
      <c r="CH28" s="185">
        <f t="shared" si="6"/>
        <v>0</v>
      </c>
      <c r="CI28" s="137">
        <f t="shared" si="7"/>
        <v>32293.899999999998</v>
      </c>
      <c r="CJ28" s="208"/>
    </row>
    <row r="29" spans="1:88" s="7" customFormat="1" ht="15.75" customHeight="1">
      <c r="A29" s="296" t="s">
        <v>195</v>
      </c>
      <c r="B29" s="211"/>
      <c r="C29" s="211"/>
      <c r="D29" s="212"/>
      <c r="E29" s="212"/>
      <c r="F29" s="204"/>
      <c r="G29" s="203">
        <f>'hoaki past19'!G12</f>
        <v>4.800000000000001</v>
      </c>
      <c r="H29" s="203"/>
      <c r="I29" s="204"/>
      <c r="J29" s="474"/>
      <c r="K29" s="230">
        <f t="shared" si="1"/>
        <v>4.800000000000001</v>
      </c>
      <c r="L29" s="210"/>
      <c r="M29" s="182"/>
      <c r="N29" s="182"/>
      <c r="O29" s="182"/>
      <c r="P29" s="182"/>
      <c r="Q29" s="182"/>
      <c r="R29" s="182"/>
      <c r="S29" s="182"/>
      <c r="T29" s="182"/>
      <c r="U29" s="182"/>
      <c r="V29" s="182"/>
      <c r="W29" s="182"/>
      <c r="X29" s="182"/>
      <c r="Y29" s="182"/>
      <c r="Z29" s="182"/>
      <c r="AA29" s="182"/>
      <c r="AB29" s="182"/>
      <c r="AC29" s="182"/>
      <c r="AD29" s="182"/>
      <c r="AE29" s="182"/>
      <c r="AF29" s="186">
        <f>'hoaki past19'!J12</f>
        <v>29495.6</v>
      </c>
      <c r="AG29" s="182"/>
      <c r="AH29" s="182"/>
      <c r="AI29" s="182"/>
      <c r="AJ29" s="183"/>
      <c r="AK29" s="186"/>
      <c r="AL29" s="231">
        <f t="shared" si="11"/>
        <v>29495.6</v>
      </c>
      <c r="AM29" s="231"/>
      <c r="AN29" s="182"/>
      <c r="AO29" s="182"/>
      <c r="AP29" s="182"/>
      <c r="AQ29" s="182"/>
      <c r="AR29" s="182"/>
      <c r="AS29" s="182"/>
      <c r="AT29" s="182"/>
      <c r="AU29" s="27">
        <f t="shared" si="2"/>
        <v>0</v>
      </c>
      <c r="AV29" s="27">
        <f t="shared" si="3"/>
        <v>29495.6</v>
      </c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>
        <f>AE29-'2019dram'!U29</f>
        <v>0</v>
      </c>
      <c r="BQ29" s="27">
        <f>AF29-'2019dram'!V29-G29</f>
        <v>-102.40000000000218</v>
      </c>
      <c r="BR29" s="27">
        <f>AG29-'2019dram'!W29</f>
        <v>0</v>
      </c>
      <c r="BS29" s="27">
        <f>AH29-'2019dram'!X29</f>
        <v>0</v>
      </c>
      <c r="BT29" s="27">
        <f>AI29-'2019dram'!Y29</f>
        <v>0</v>
      </c>
      <c r="BU29" s="27">
        <f>AJ29-'2019dram'!Z29</f>
        <v>0</v>
      </c>
      <c r="BV29" s="233">
        <f t="shared" si="8"/>
        <v>-102.40000000000218</v>
      </c>
      <c r="BW29" s="430"/>
      <c r="BX29" s="206"/>
      <c r="BY29" s="206"/>
      <c r="BZ29" s="206"/>
      <c r="CA29" s="206"/>
      <c r="CB29" s="206"/>
      <c r="CC29" s="207"/>
      <c r="CD29" s="179"/>
      <c r="CE29" s="235">
        <f t="shared" si="5"/>
        <v>-102.40000000000218</v>
      </c>
      <c r="CF29" s="195"/>
      <c r="CG29" s="196"/>
      <c r="CH29" s="185">
        <f t="shared" si="6"/>
        <v>0</v>
      </c>
      <c r="CI29" s="137">
        <f t="shared" si="7"/>
        <v>29495.6</v>
      </c>
      <c r="CJ29" s="208"/>
    </row>
    <row r="30" spans="1:88" s="7" customFormat="1" ht="15.75" customHeight="1">
      <c r="A30" s="296" t="s">
        <v>196</v>
      </c>
      <c r="B30" s="211"/>
      <c r="C30" s="211"/>
      <c r="D30" s="212"/>
      <c r="E30" s="212"/>
      <c r="F30" s="204"/>
      <c r="G30" s="203">
        <f>'hoaki past19'!G13</f>
        <v>213.8</v>
      </c>
      <c r="H30" s="203"/>
      <c r="I30" s="204"/>
      <c r="J30" s="474"/>
      <c r="K30" s="230">
        <f t="shared" si="1"/>
        <v>213.8</v>
      </c>
      <c r="L30" s="210"/>
      <c r="M30" s="182"/>
      <c r="N30" s="182"/>
      <c r="O30" s="182"/>
      <c r="P30" s="182"/>
      <c r="Q30" s="182"/>
      <c r="R30" s="182"/>
      <c r="S30" s="182"/>
      <c r="T30" s="182"/>
      <c r="U30" s="182"/>
      <c r="V30" s="182"/>
      <c r="W30" s="182"/>
      <c r="X30" s="182"/>
      <c r="Y30" s="182"/>
      <c r="Z30" s="182"/>
      <c r="AA30" s="182"/>
      <c r="AB30" s="182"/>
      <c r="AC30" s="182"/>
      <c r="AD30" s="182"/>
      <c r="AE30" s="182"/>
      <c r="AF30" s="186">
        <f>'hoaki past19'!J13</f>
        <v>29389.799999999996</v>
      </c>
      <c r="AG30" s="182"/>
      <c r="AH30" s="182"/>
      <c r="AI30" s="182"/>
      <c r="AJ30" s="183"/>
      <c r="AK30" s="186"/>
      <c r="AL30" s="231">
        <f t="shared" si="11"/>
        <v>29389.799999999996</v>
      </c>
      <c r="AM30" s="231"/>
      <c r="AN30" s="182"/>
      <c r="AO30" s="182"/>
      <c r="AP30" s="182"/>
      <c r="AQ30" s="182"/>
      <c r="AR30" s="182"/>
      <c r="AS30" s="182"/>
      <c r="AT30" s="182"/>
      <c r="AU30" s="27">
        <f t="shared" si="2"/>
        <v>0</v>
      </c>
      <c r="AV30" s="27">
        <f t="shared" si="3"/>
        <v>29389.799999999996</v>
      </c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>
        <f>AE30-'2019dram'!U30</f>
        <v>0</v>
      </c>
      <c r="BQ30" s="27">
        <f>AF30-'2019dram'!V30-G30</f>
        <v>-171.50000000000438</v>
      </c>
      <c r="BR30" s="27">
        <f>AG30-'2019dram'!W30</f>
        <v>0</v>
      </c>
      <c r="BS30" s="27">
        <f>AH30-'2019dram'!X30</f>
        <v>0</v>
      </c>
      <c r="BT30" s="27">
        <f>AI30-'2019dram'!Y30</f>
        <v>0</v>
      </c>
      <c r="BU30" s="27">
        <f>AJ30-'2019dram'!Z30</f>
        <v>0</v>
      </c>
      <c r="BV30" s="233">
        <f t="shared" si="8"/>
        <v>-171.50000000000438</v>
      </c>
      <c r="BW30" s="430"/>
      <c r="BX30" s="206"/>
      <c r="BY30" s="206"/>
      <c r="BZ30" s="206"/>
      <c r="CA30" s="206"/>
      <c r="CB30" s="206"/>
      <c r="CC30" s="207"/>
      <c r="CD30" s="179"/>
      <c r="CE30" s="235">
        <f t="shared" si="5"/>
        <v>-171.50000000000438</v>
      </c>
      <c r="CF30" s="195"/>
      <c r="CG30" s="196"/>
      <c r="CH30" s="185">
        <f t="shared" si="6"/>
        <v>0</v>
      </c>
      <c r="CI30" s="137">
        <f t="shared" si="7"/>
        <v>29389.799999999996</v>
      </c>
      <c r="CJ30" s="208"/>
    </row>
    <row r="31" spans="1:88" s="7" customFormat="1" ht="15.75" customHeight="1">
      <c r="A31" s="296" t="s">
        <v>197</v>
      </c>
      <c r="B31" s="211"/>
      <c r="C31" s="211"/>
      <c r="D31" s="212"/>
      <c r="E31" s="212"/>
      <c r="F31" s="204"/>
      <c r="G31" s="203">
        <f>'hoaki past19'!G14</f>
        <v>12.5</v>
      </c>
      <c r="H31" s="203"/>
      <c r="I31" s="204"/>
      <c r="J31" s="474"/>
      <c r="K31" s="230">
        <f t="shared" si="1"/>
        <v>12.5</v>
      </c>
      <c r="L31" s="210"/>
      <c r="M31" s="182"/>
      <c r="N31" s="182"/>
      <c r="O31" s="182"/>
      <c r="P31" s="182"/>
      <c r="Q31" s="182"/>
      <c r="R31" s="182"/>
      <c r="S31" s="182"/>
      <c r="T31" s="182"/>
      <c r="U31" s="182"/>
      <c r="V31" s="182"/>
      <c r="W31" s="182"/>
      <c r="X31" s="182"/>
      <c r="Y31" s="182"/>
      <c r="Z31" s="182"/>
      <c r="AA31" s="182"/>
      <c r="AB31" s="182"/>
      <c r="AC31" s="182"/>
      <c r="AD31" s="182"/>
      <c r="AE31" s="182"/>
      <c r="AF31" s="186">
        <f>'hoaki past19'!J14</f>
        <v>23597.8</v>
      </c>
      <c r="AG31" s="182"/>
      <c r="AH31" s="182"/>
      <c r="AI31" s="182"/>
      <c r="AJ31" s="183"/>
      <c r="AK31" s="186"/>
      <c r="AL31" s="231">
        <f t="shared" si="11"/>
        <v>23597.8</v>
      </c>
      <c r="AM31" s="231"/>
      <c r="AN31" s="182"/>
      <c r="AO31" s="182"/>
      <c r="AP31" s="182"/>
      <c r="AQ31" s="182"/>
      <c r="AR31" s="182"/>
      <c r="AS31" s="182"/>
      <c r="AT31" s="182"/>
      <c r="AU31" s="27">
        <f t="shared" si="2"/>
        <v>0</v>
      </c>
      <c r="AV31" s="27">
        <f t="shared" si="3"/>
        <v>23597.8</v>
      </c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>
        <f>AE31-'2019dram'!U31</f>
        <v>0</v>
      </c>
      <c r="BQ31" s="27">
        <f>AF31-'2019dram'!V31-G31</f>
        <v>-1.5</v>
      </c>
      <c r="BR31" s="27">
        <f>AG31-'2019dram'!W31</f>
        <v>0</v>
      </c>
      <c r="BS31" s="27">
        <f>AH31-'2019dram'!X31</f>
        <v>0</v>
      </c>
      <c r="BT31" s="27">
        <f>AI31-'2019dram'!Y31</f>
        <v>0</v>
      </c>
      <c r="BU31" s="27">
        <f>AJ31-'2019dram'!Z31</f>
        <v>0</v>
      </c>
      <c r="BV31" s="233">
        <f t="shared" si="8"/>
        <v>-1.5</v>
      </c>
      <c r="BW31" s="430"/>
      <c r="BX31" s="206"/>
      <c r="BY31" s="206"/>
      <c r="BZ31" s="206"/>
      <c r="CA31" s="206"/>
      <c r="CB31" s="206"/>
      <c r="CC31" s="207"/>
      <c r="CD31" s="179"/>
      <c r="CE31" s="235">
        <f t="shared" si="5"/>
        <v>-1.5</v>
      </c>
      <c r="CF31" s="195"/>
      <c r="CG31" s="196"/>
      <c r="CH31" s="185">
        <f t="shared" si="6"/>
        <v>0</v>
      </c>
      <c r="CI31" s="137">
        <f t="shared" si="7"/>
        <v>23597.8</v>
      </c>
      <c r="CJ31" s="208"/>
    </row>
    <row r="32" spans="1:88" s="7" customFormat="1" ht="15.75" customHeight="1" thickBot="1">
      <c r="A32" s="296" t="s">
        <v>198</v>
      </c>
      <c r="B32" s="213"/>
      <c r="C32" s="213"/>
      <c r="D32" s="214"/>
      <c r="E32" s="214"/>
      <c r="F32" s="215"/>
      <c r="G32" s="431">
        <f>'hoaki past19'!G15</f>
        <v>5.6</v>
      </c>
      <c r="H32" s="431"/>
      <c r="I32" s="215"/>
      <c r="J32" s="475"/>
      <c r="K32" s="230">
        <f t="shared" si="1"/>
        <v>5.6</v>
      </c>
      <c r="L32" s="216"/>
      <c r="M32" s="188"/>
      <c r="N32" s="188"/>
      <c r="O32" s="188"/>
      <c r="P32" s="188"/>
      <c r="Q32" s="188"/>
      <c r="R32" s="188"/>
      <c r="S32" s="188"/>
      <c r="T32" s="188"/>
      <c r="U32" s="188"/>
      <c r="V32" s="188"/>
      <c r="W32" s="188"/>
      <c r="X32" s="188"/>
      <c r="Y32" s="188"/>
      <c r="Z32" s="188"/>
      <c r="AA32" s="188"/>
      <c r="AB32" s="188"/>
      <c r="AC32" s="188"/>
      <c r="AD32" s="188"/>
      <c r="AE32" s="188"/>
      <c r="AF32" s="184">
        <f>'hoaki past19'!J15</f>
        <v>28689.2</v>
      </c>
      <c r="AG32" s="188"/>
      <c r="AH32" s="188"/>
      <c r="AI32" s="188"/>
      <c r="AJ32" s="189"/>
      <c r="AK32" s="184"/>
      <c r="AL32" s="421">
        <f t="shared" si="11"/>
        <v>28689.2</v>
      </c>
      <c r="AM32" s="421"/>
      <c r="AN32" s="188"/>
      <c r="AO32" s="188"/>
      <c r="AP32" s="188"/>
      <c r="AQ32" s="188"/>
      <c r="AR32" s="188"/>
      <c r="AS32" s="188"/>
      <c r="AT32" s="188"/>
      <c r="AU32" s="92">
        <f t="shared" si="2"/>
        <v>0</v>
      </c>
      <c r="AV32" s="92">
        <f t="shared" si="3"/>
        <v>28689.2</v>
      </c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>
        <f>AE32-'2019dram'!U32</f>
        <v>0</v>
      </c>
      <c r="BQ32" s="92">
        <f>AF32-'2019dram'!V32-G32</f>
        <v>-4.999999999997817</v>
      </c>
      <c r="BR32" s="27">
        <f>AG32-'2019dram'!W32</f>
        <v>0</v>
      </c>
      <c r="BS32" s="27">
        <f>AH32-'2019dram'!X32</f>
        <v>0</v>
      </c>
      <c r="BT32" s="27">
        <f>AI32-'2019dram'!Y32</f>
        <v>0</v>
      </c>
      <c r="BU32" s="27">
        <f>AJ32-'2019dram'!Z32</f>
        <v>0</v>
      </c>
      <c r="BV32" s="433">
        <f t="shared" si="8"/>
        <v>-4.999999999997817</v>
      </c>
      <c r="BW32" s="434"/>
      <c r="BX32" s="217"/>
      <c r="BY32" s="217"/>
      <c r="BZ32" s="217"/>
      <c r="CA32" s="217"/>
      <c r="CB32" s="217"/>
      <c r="CC32" s="218"/>
      <c r="CD32" s="180"/>
      <c r="CE32" s="435">
        <f t="shared" si="5"/>
        <v>-4.999999999997817</v>
      </c>
      <c r="CF32" s="219"/>
      <c r="CG32" s="220"/>
      <c r="CH32" s="221">
        <f t="shared" si="6"/>
        <v>0</v>
      </c>
      <c r="CI32" s="161">
        <f t="shared" si="7"/>
        <v>28689.2</v>
      </c>
      <c r="CJ32" s="208"/>
    </row>
    <row r="33" spans="1:88" s="12" customFormat="1" ht="18.75" customHeight="1" thickBot="1">
      <c r="A33" s="308" t="s">
        <v>205</v>
      </c>
      <c r="B33" s="436">
        <f aca="true" t="shared" si="12" ref="B33:AM33">SUM(B21:B32)</f>
        <v>0</v>
      </c>
      <c r="C33" s="436">
        <f t="shared" si="12"/>
        <v>0</v>
      </c>
      <c r="D33" s="436">
        <f t="shared" si="12"/>
        <v>0</v>
      </c>
      <c r="E33" s="436">
        <f t="shared" si="12"/>
        <v>0</v>
      </c>
      <c r="F33" s="436">
        <f t="shared" si="12"/>
        <v>0</v>
      </c>
      <c r="G33" s="436">
        <f t="shared" si="12"/>
        <v>804.4</v>
      </c>
      <c r="H33" s="436">
        <f t="shared" si="12"/>
        <v>0</v>
      </c>
      <c r="I33" s="436">
        <f t="shared" si="12"/>
        <v>0</v>
      </c>
      <c r="J33" s="436">
        <f t="shared" si="12"/>
        <v>0</v>
      </c>
      <c r="K33" s="437">
        <f t="shared" si="12"/>
        <v>804.4</v>
      </c>
      <c r="L33" s="438">
        <f t="shared" si="12"/>
        <v>0</v>
      </c>
      <c r="M33" s="436">
        <f t="shared" si="12"/>
        <v>0</v>
      </c>
      <c r="N33" s="436">
        <f t="shared" si="12"/>
        <v>0</v>
      </c>
      <c r="O33" s="436">
        <f t="shared" si="12"/>
        <v>0</v>
      </c>
      <c r="P33" s="436">
        <f t="shared" si="12"/>
        <v>0</v>
      </c>
      <c r="Q33" s="436">
        <f t="shared" si="12"/>
        <v>0</v>
      </c>
      <c r="R33" s="436">
        <f t="shared" si="12"/>
        <v>0</v>
      </c>
      <c r="S33" s="436">
        <f t="shared" si="12"/>
        <v>0</v>
      </c>
      <c r="T33" s="436">
        <f t="shared" si="12"/>
        <v>0</v>
      </c>
      <c r="U33" s="436">
        <f t="shared" si="12"/>
        <v>0</v>
      </c>
      <c r="V33" s="436">
        <f t="shared" si="12"/>
        <v>0</v>
      </c>
      <c r="W33" s="436">
        <f t="shared" si="12"/>
        <v>0</v>
      </c>
      <c r="X33" s="436">
        <f t="shared" si="12"/>
        <v>0</v>
      </c>
      <c r="Y33" s="436">
        <f t="shared" si="12"/>
        <v>0</v>
      </c>
      <c r="Z33" s="436">
        <f t="shared" si="12"/>
        <v>0</v>
      </c>
      <c r="AA33" s="436">
        <f t="shared" si="12"/>
        <v>0</v>
      </c>
      <c r="AB33" s="436">
        <f t="shared" si="12"/>
        <v>0</v>
      </c>
      <c r="AC33" s="436">
        <f t="shared" si="12"/>
        <v>0</v>
      </c>
      <c r="AD33" s="436">
        <f t="shared" si="12"/>
        <v>0</v>
      </c>
      <c r="AE33" s="436">
        <f t="shared" si="12"/>
        <v>0</v>
      </c>
      <c r="AF33" s="436">
        <f t="shared" si="12"/>
        <v>305823.5</v>
      </c>
      <c r="AG33" s="436">
        <f t="shared" si="12"/>
        <v>0</v>
      </c>
      <c r="AH33" s="436">
        <f t="shared" si="12"/>
        <v>0</v>
      </c>
      <c r="AI33" s="436">
        <f t="shared" si="12"/>
        <v>0</v>
      </c>
      <c r="AJ33" s="439">
        <f t="shared" si="12"/>
        <v>0</v>
      </c>
      <c r="AK33" s="436">
        <f t="shared" si="12"/>
        <v>0</v>
      </c>
      <c r="AL33" s="439">
        <f t="shared" si="12"/>
        <v>305823.5</v>
      </c>
      <c r="AM33" s="436">
        <f t="shared" si="12"/>
        <v>0</v>
      </c>
      <c r="AN33" s="436">
        <f aca="true" t="shared" si="13" ref="AN33:BZ33">SUM(AN21:AN32)</f>
        <v>0</v>
      </c>
      <c r="AO33" s="436">
        <f t="shared" si="13"/>
        <v>0</v>
      </c>
      <c r="AP33" s="436">
        <f t="shared" si="13"/>
        <v>0</v>
      </c>
      <c r="AQ33" s="436">
        <f t="shared" si="13"/>
        <v>0</v>
      </c>
      <c r="AR33" s="436">
        <f t="shared" si="13"/>
        <v>0</v>
      </c>
      <c r="AS33" s="436">
        <f t="shared" si="13"/>
        <v>0</v>
      </c>
      <c r="AT33" s="436">
        <f t="shared" si="13"/>
        <v>0</v>
      </c>
      <c r="AU33" s="436">
        <f t="shared" si="13"/>
        <v>0</v>
      </c>
      <c r="AV33" s="436">
        <f t="shared" si="13"/>
        <v>305823.5</v>
      </c>
      <c r="AW33" s="436">
        <f t="shared" si="13"/>
        <v>0</v>
      </c>
      <c r="AX33" s="436">
        <f t="shared" si="13"/>
        <v>0</v>
      </c>
      <c r="AY33" s="436">
        <f t="shared" si="13"/>
        <v>0</v>
      </c>
      <c r="AZ33" s="436">
        <f t="shared" si="13"/>
        <v>0</v>
      </c>
      <c r="BA33" s="436">
        <f t="shared" si="13"/>
        <v>0</v>
      </c>
      <c r="BB33" s="436">
        <f t="shared" si="13"/>
        <v>0</v>
      </c>
      <c r="BC33" s="436">
        <f t="shared" si="13"/>
        <v>0</v>
      </c>
      <c r="BD33" s="436">
        <f t="shared" si="13"/>
        <v>0</v>
      </c>
      <c r="BE33" s="436">
        <f t="shared" si="13"/>
        <v>0</v>
      </c>
      <c r="BF33" s="436">
        <f t="shared" si="13"/>
        <v>0</v>
      </c>
      <c r="BG33" s="436">
        <f t="shared" si="13"/>
        <v>0</v>
      </c>
      <c r="BH33" s="436">
        <f t="shared" si="13"/>
        <v>0</v>
      </c>
      <c r="BI33" s="436">
        <f t="shared" si="13"/>
        <v>0</v>
      </c>
      <c r="BJ33" s="436">
        <f t="shared" si="13"/>
        <v>0</v>
      </c>
      <c r="BK33" s="436">
        <f t="shared" si="13"/>
        <v>0</v>
      </c>
      <c r="BL33" s="436">
        <f t="shared" si="13"/>
        <v>0</v>
      </c>
      <c r="BM33" s="436">
        <f t="shared" si="13"/>
        <v>0</v>
      </c>
      <c r="BN33" s="436">
        <f t="shared" si="13"/>
        <v>0</v>
      </c>
      <c r="BO33" s="436">
        <f t="shared" si="13"/>
        <v>0</v>
      </c>
      <c r="BP33" s="436">
        <f t="shared" si="13"/>
        <v>0</v>
      </c>
      <c r="BQ33" s="436">
        <f t="shared" si="13"/>
        <v>-578.0000000000131</v>
      </c>
      <c r="BR33" s="436">
        <f t="shared" si="13"/>
        <v>0</v>
      </c>
      <c r="BS33" s="436">
        <f t="shared" si="13"/>
        <v>0</v>
      </c>
      <c r="BT33" s="436">
        <f t="shared" si="13"/>
        <v>0</v>
      </c>
      <c r="BU33" s="439">
        <f>SUM(BU21:BU32)</f>
        <v>0</v>
      </c>
      <c r="BV33" s="437">
        <f t="shared" si="13"/>
        <v>-578.0000000000131</v>
      </c>
      <c r="BW33" s="440">
        <f t="shared" si="13"/>
        <v>0</v>
      </c>
      <c r="BX33" s="441">
        <f t="shared" si="13"/>
        <v>0</v>
      </c>
      <c r="BY33" s="441">
        <f t="shared" si="13"/>
        <v>0</v>
      </c>
      <c r="BZ33" s="441">
        <f t="shared" si="13"/>
        <v>0</v>
      </c>
      <c r="CA33" s="441">
        <f aca="true" t="shared" si="14" ref="CA33:CI33">SUM(CA21:CA32)</f>
        <v>0</v>
      </c>
      <c r="CB33" s="441">
        <f t="shared" si="14"/>
        <v>0</v>
      </c>
      <c r="CC33" s="442">
        <f t="shared" si="14"/>
        <v>0</v>
      </c>
      <c r="CD33" s="443">
        <f t="shared" si="14"/>
        <v>0</v>
      </c>
      <c r="CE33" s="437">
        <f t="shared" si="14"/>
        <v>-578.0000000000131</v>
      </c>
      <c r="CF33" s="444">
        <f t="shared" si="14"/>
        <v>0</v>
      </c>
      <c r="CG33" s="445">
        <f t="shared" si="14"/>
        <v>0</v>
      </c>
      <c r="CH33" s="445">
        <f t="shared" si="14"/>
        <v>0</v>
      </c>
      <c r="CI33" s="428">
        <f t="shared" si="14"/>
        <v>305823.5</v>
      </c>
      <c r="CJ33" s="222"/>
    </row>
    <row r="34" spans="1:88" s="7" customFormat="1" ht="15" customHeight="1">
      <c r="A34" s="296" t="s">
        <v>199</v>
      </c>
      <c r="B34" s="209"/>
      <c r="C34" s="209"/>
      <c r="D34" s="204"/>
      <c r="E34" s="204"/>
      <c r="F34" s="204"/>
      <c r="G34" s="203">
        <f>'hoaki past19'!G17</f>
        <v>280</v>
      </c>
      <c r="H34" s="203"/>
      <c r="I34" s="204"/>
      <c r="J34" s="474"/>
      <c r="K34" s="230">
        <f t="shared" si="1"/>
        <v>280</v>
      </c>
      <c r="L34" s="205"/>
      <c r="M34" s="186"/>
      <c r="N34" s="186"/>
      <c r="O34" s="186"/>
      <c r="P34" s="186"/>
      <c r="Q34" s="186"/>
      <c r="R34" s="186"/>
      <c r="S34" s="186"/>
      <c r="T34" s="186"/>
      <c r="U34" s="186"/>
      <c r="V34" s="186"/>
      <c r="W34" s="186"/>
      <c r="X34" s="186"/>
      <c r="Y34" s="186"/>
      <c r="Z34" s="186"/>
      <c r="AA34" s="186"/>
      <c r="AB34" s="186"/>
      <c r="AC34" s="186"/>
      <c r="AD34" s="186"/>
      <c r="AE34" s="186"/>
      <c r="AF34" s="186">
        <f>'hoaki past19'!J17</f>
        <v>39306.5</v>
      </c>
      <c r="AG34" s="186">
        <f>'hoaki past19'!I17</f>
        <v>2800.5</v>
      </c>
      <c r="AH34" s="186"/>
      <c r="AI34" s="186"/>
      <c r="AJ34" s="187"/>
      <c r="AK34" s="186"/>
      <c r="AL34" s="231">
        <f>L34+M34+N34+O34+P34+Q34+R34+S34+T34+U34+V34+W34+X34+Y34+Z34+AA34+AB34+AC34+AD34+AE34+AF34+AG34+AH34+AI34+AJ34</f>
        <v>42107</v>
      </c>
      <c r="AM34" s="231"/>
      <c r="AN34" s="186"/>
      <c r="AO34" s="186"/>
      <c r="AP34" s="186"/>
      <c r="AQ34" s="186"/>
      <c r="AR34" s="186"/>
      <c r="AS34" s="186"/>
      <c r="AT34" s="186"/>
      <c r="AU34" s="27">
        <f>AN34+AO34+AP34+AQ34+AR34+AT34+AM34</f>
        <v>0</v>
      </c>
      <c r="AV34" s="27">
        <f>AL34+AU34</f>
        <v>42107</v>
      </c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>
        <f>AF34-'2019dram'!V34-G34</f>
        <v>-231.59999999999854</v>
      </c>
      <c r="BR34" s="27">
        <f>AG34-'2019dram'!W34</f>
        <v>0</v>
      </c>
      <c r="BS34" s="27"/>
      <c r="BT34" s="27"/>
      <c r="BU34" s="232"/>
      <c r="BV34" s="233">
        <f t="shared" si="8"/>
        <v>-231.59999999999854</v>
      </c>
      <c r="BW34" s="430"/>
      <c r="BX34" s="206"/>
      <c r="BY34" s="206"/>
      <c r="BZ34" s="206"/>
      <c r="CA34" s="206"/>
      <c r="CB34" s="206"/>
      <c r="CC34" s="207"/>
      <c r="CD34" s="179"/>
      <c r="CE34" s="235">
        <f t="shared" si="5"/>
        <v>-231.59999999999854</v>
      </c>
      <c r="CF34" s="192"/>
      <c r="CG34" s="193"/>
      <c r="CH34" s="194">
        <f t="shared" si="6"/>
        <v>0</v>
      </c>
      <c r="CI34" s="137">
        <f t="shared" si="7"/>
        <v>42107</v>
      </c>
      <c r="CJ34" s="208"/>
    </row>
    <row r="35" spans="1:88" s="7" customFormat="1" ht="15" customHeight="1">
      <c r="A35" s="312" t="s">
        <v>200</v>
      </c>
      <c r="B35" s="211"/>
      <c r="C35" s="211"/>
      <c r="D35" s="212"/>
      <c r="E35" s="212"/>
      <c r="F35" s="204"/>
      <c r="G35" s="203">
        <f>'hoaki past19'!G18</f>
        <v>2.3</v>
      </c>
      <c r="H35" s="203"/>
      <c r="I35" s="204"/>
      <c r="J35" s="474"/>
      <c r="K35" s="230">
        <f t="shared" si="1"/>
        <v>2.3</v>
      </c>
      <c r="L35" s="210"/>
      <c r="M35" s="182"/>
      <c r="N35" s="182"/>
      <c r="O35" s="182"/>
      <c r="P35" s="182"/>
      <c r="Q35" s="182"/>
      <c r="R35" s="182"/>
      <c r="S35" s="182"/>
      <c r="T35" s="182"/>
      <c r="U35" s="182"/>
      <c r="V35" s="182"/>
      <c r="W35" s="182"/>
      <c r="X35" s="182"/>
      <c r="Y35" s="182"/>
      <c r="Z35" s="182"/>
      <c r="AA35" s="182"/>
      <c r="AB35" s="182"/>
      <c r="AC35" s="182"/>
      <c r="AD35" s="182"/>
      <c r="AE35" s="182"/>
      <c r="AF35" s="186">
        <f>'hoaki past19'!J18</f>
        <v>20453.3</v>
      </c>
      <c r="AG35" s="186">
        <f>'hoaki past19'!I18</f>
        <v>1166.9</v>
      </c>
      <c r="AH35" s="182"/>
      <c r="AI35" s="182"/>
      <c r="AJ35" s="183"/>
      <c r="AK35" s="186"/>
      <c r="AL35" s="231">
        <f>L35+M35+N35+O35+P35+Q35+R35+S35+T35+U35+V35+W35+X35+Y35+Z35+AA35+AB35+AC35+AD35+AE35+AF35+AG35+AH35+AI35+AJ35</f>
        <v>21620.2</v>
      </c>
      <c r="AM35" s="231"/>
      <c r="AN35" s="182"/>
      <c r="AO35" s="182"/>
      <c r="AP35" s="182"/>
      <c r="AQ35" s="182"/>
      <c r="AR35" s="182"/>
      <c r="AS35" s="182"/>
      <c r="AT35" s="182"/>
      <c r="AU35" s="27">
        <f>AN35+AO35+AP35+AQ35+AR35+AT35+AM35</f>
        <v>0</v>
      </c>
      <c r="AV35" s="27">
        <f t="shared" si="3"/>
        <v>21620.2</v>
      </c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>
        <f>AF35-'2019dram'!V35-G35</f>
        <v>-26.3</v>
      </c>
      <c r="BR35" s="27">
        <f>AG35-'2019dram'!W35</f>
        <v>0</v>
      </c>
      <c r="BS35" s="27"/>
      <c r="BT35" s="27"/>
      <c r="BU35" s="232"/>
      <c r="BV35" s="233">
        <f t="shared" si="8"/>
        <v>-26.3</v>
      </c>
      <c r="BW35" s="430"/>
      <c r="BX35" s="206"/>
      <c r="BY35" s="206"/>
      <c r="BZ35" s="206"/>
      <c r="CA35" s="206"/>
      <c r="CB35" s="206"/>
      <c r="CC35" s="207"/>
      <c r="CD35" s="179"/>
      <c r="CE35" s="235">
        <f t="shared" si="5"/>
        <v>-26.3</v>
      </c>
      <c r="CF35" s="195"/>
      <c r="CG35" s="196"/>
      <c r="CH35" s="185">
        <f t="shared" si="6"/>
        <v>0</v>
      </c>
      <c r="CI35" s="137">
        <f t="shared" si="7"/>
        <v>21620.2</v>
      </c>
      <c r="CJ35" s="208" t="s">
        <v>87</v>
      </c>
    </row>
    <row r="36" spans="1:88" s="7" customFormat="1" ht="15" customHeight="1">
      <c r="A36" s="313" t="s">
        <v>201</v>
      </c>
      <c r="B36" s="211"/>
      <c r="C36" s="211"/>
      <c r="D36" s="212"/>
      <c r="E36" s="212"/>
      <c r="F36" s="204"/>
      <c r="G36" s="203">
        <f>'hoaki past19'!G19</f>
        <v>193.2</v>
      </c>
      <c r="H36" s="203"/>
      <c r="I36" s="204"/>
      <c r="J36" s="474"/>
      <c r="K36" s="230">
        <f t="shared" si="1"/>
        <v>193.2</v>
      </c>
      <c r="L36" s="210"/>
      <c r="M36" s="182"/>
      <c r="N36" s="182"/>
      <c r="O36" s="182"/>
      <c r="P36" s="182"/>
      <c r="Q36" s="182"/>
      <c r="R36" s="182"/>
      <c r="S36" s="182"/>
      <c r="T36" s="182"/>
      <c r="U36" s="182"/>
      <c r="V36" s="182"/>
      <c r="W36" s="182"/>
      <c r="X36" s="182"/>
      <c r="Y36" s="182"/>
      <c r="Z36" s="182"/>
      <c r="AA36" s="182"/>
      <c r="AB36" s="182"/>
      <c r="AC36" s="182"/>
      <c r="AD36" s="182"/>
      <c r="AE36" s="182"/>
      <c r="AF36" s="186">
        <f>'hoaki past19'!J19</f>
        <v>26224.2</v>
      </c>
      <c r="AG36" s="182"/>
      <c r="AH36" s="182"/>
      <c r="AI36" s="182"/>
      <c r="AJ36" s="183"/>
      <c r="AK36" s="186"/>
      <c r="AL36" s="231">
        <f>L36+M36+N36+O36+P36+Q36+R36+S36+T36+U36+V36+W36+X36+Y36+Z36+AA36+AB36+AC36+AD36+AE36+AF36+AG36+AH36+AI36+AJ36</f>
        <v>26224.2</v>
      </c>
      <c r="AM36" s="231"/>
      <c r="AN36" s="182"/>
      <c r="AO36" s="182"/>
      <c r="AP36" s="182"/>
      <c r="AQ36" s="182"/>
      <c r="AR36" s="182"/>
      <c r="AS36" s="182"/>
      <c r="AT36" s="182"/>
      <c r="AU36" s="27">
        <f t="shared" si="2"/>
        <v>0</v>
      </c>
      <c r="AV36" s="27">
        <f t="shared" si="3"/>
        <v>26224.2</v>
      </c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>
        <f>AF36-'2019dram'!V36-G36</f>
        <v>-157.0999999999978</v>
      </c>
      <c r="BR36" s="27"/>
      <c r="BS36" s="27"/>
      <c r="BT36" s="27"/>
      <c r="BU36" s="232"/>
      <c r="BV36" s="233">
        <f t="shared" si="8"/>
        <v>-157.0999999999978</v>
      </c>
      <c r="BW36" s="430"/>
      <c r="BX36" s="206"/>
      <c r="BY36" s="206"/>
      <c r="BZ36" s="206"/>
      <c r="CA36" s="206"/>
      <c r="CB36" s="206"/>
      <c r="CC36" s="207"/>
      <c r="CD36" s="179"/>
      <c r="CE36" s="235">
        <f t="shared" si="5"/>
        <v>-157.0999999999978</v>
      </c>
      <c r="CF36" s="195"/>
      <c r="CG36" s="196"/>
      <c r="CH36" s="185">
        <f t="shared" si="6"/>
        <v>0</v>
      </c>
      <c r="CI36" s="137">
        <f t="shared" si="7"/>
        <v>26224.2</v>
      </c>
      <c r="CJ36" s="208"/>
    </row>
    <row r="37" spans="1:88" s="7" customFormat="1" ht="15" customHeight="1">
      <c r="A37" s="313" t="s">
        <v>202</v>
      </c>
      <c r="B37" s="211"/>
      <c r="C37" s="211"/>
      <c r="D37" s="212"/>
      <c r="E37" s="212"/>
      <c r="F37" s="204"/>
      <c r="G37" s="203">
        <f>'hoaki past19'!G20</f>
        <v>125.9</v>
      </c>
      <c r="H37" s="203"/>
      <c r="I37" s="204"/>
      <c r="J37" s="474"/>
      <c r="K37" s="230">
        <f t="shared" si="1"/>
        <v>125.9</v>
      </c>
      <c r="L37" s="210"/>
      <c r="M37" s="182"/>
      <c r="N37" s="182"/>
      <c r="O37" s="182"/>
      <c r="P37" s="182"/>
      <c r="Q37" s="182"/>
      <c r="R37" s="182"/>
      <c r="S37" s="182"/>
      <c r="T37" s="182"/>
      <c r="U37" s="182"/>
      <c r="V37" s="182"/>
      <c r="W37" s="182"/>
      <c r="X37" s="182"/>
      <c r="Y37" s="182"/>
      <c r="Z37" s="182"/>
      <c r="AA37" s="182"/>
      <c r="AB37" s="182"/>
      <c r="AC37" s="182"/>
      <c r="AD37" s="182"/>
      <c r="AE37" s="182"/>
      <c r="AF37" s="186">
        <f>'hoaki past19'!J20</f>
        <v>15373.500000000002</v>
      </c>
      <c r="AG37" s="182"/>
      <c r="AH37" s="182"/>
      <c r="AI37" s="182"/>
      <c r="AJ37" s="183"/>
      <c r="AK37" s="186"/>
      <c r="AL37" s="231">
        <f>L37+M37+N37+O37+P37+Q37+R37+S37+T37+U37+V37+W37+X37+Y37+Z37+AA37+AB37+AC37+AD37+AE37+AF37+AG37+AH37+AI37+AJ37</f>
        <v>15373.500000000002</v>
      </c>
      <c r="AM37" s="231"/>
      <c r="AN37" s="182"/>
      <c r="AO37" s="182"/>
      <c r="AP37" s="182"/>
      <c r="AQ37" s="182"/>
      <c r="AR37" s="182"/>
      <c r="AS37" s="182"/>
      <c r="AT37" s="182"/>
      <c r="AU37" s="27">
        <f t="shared" si="2"/>
        <v>0</v>
      </c>
      <c r="AV37" s="27">
        <f t="shared" si="3"/>
        <v>15373.500000000002</v>
      </c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>
        <f>AF37-'2019dram'!V37-G37</f>
        <v>-109.39999999999819</v>
      </c>
      <c r="BR37" s="27"/>
      <c r="BS37" s="27"/>
      <c r="BT37" s="27"/>
      <c r="BU37" s="232"/>
      <c r="BV37" s="233">
        <f t="shared" si="8"/>
        <v>-109.39999999999819</v>
      </c>
      <c r="BW37" s="430"/>
      <c r="BX37" s="206"/>
      <c r="BY37" s="206"/>
      <c r="BZ37" s="206"/>
      <c r="CA37" s="206"/>
      <c r="CB37" s="206"/>
      <c r="CC37" s="207"/>
      <c r="CD37" s="179"/>
      <c r="CE37" s="235">
        <f t="shared" si="5"/>
        <v>-109.39999999999819</v>
      </c>
      <c r="CF37" s="195"/>
      <c r="CG37" s="196"/>
      <c r="CH37" s="185">
        <f t="shared" si="6"/>
        <v>0</v>
      </c>
      <c r="CI37" s="137">
        <f t="shared" si="7"/>
        <v>15373.500000000002</v>
      </c>
      <c r="CJ37" s="208"/>
    </row>
    <row r="38" spans="1:88" s="7" customFormat="1" ht="15" customHeight="1" thickBot="1">
      <c r="A38" s="313" t="s">
        <v>203</v>
      </c>
      <c r="B38" s="213"/>
      <c r="C38" s="213"/>
      <c r="D38" s="214"/>
      <c r="E38" s="214"/>
      <c r="F38" s="215"/>
      <c r="G38" s="431">
        <f>'hoaki past19'!G21</f>
        <v>71.4</v>
      </c>
      <c r="H38" s="431"/>
      <c r="I38" s="215"/>
      <c r="J38" s="475"/>
      <c r="K38" s="230">
        <f t="shared" si="1"/>
        <v>71.4</v>
      </c>
      <c r="L38" s="216"/>
      <c r="M38" s="188"/>
      <c r="N38" s="188"/>
      <c r="O38" s="188"/>
      <c r="P38" s="188"/>
      <c r="Q38" s="188"/>
      <c r="R38" s="188"/>
      <c r="S38" s="188"/>
      <c r="T38" s="188"/>
      <c r="U38" s="188"/>
      <c r="V38" s="188"/>
      <c r="W38" s="188"/>
      <c r="X38" s="188"/>
      <c r="Y38" s="188"/>
      <c r="Z38" s="188"/>
      <c r="AA38" s="188"/>
      <c r="AB38" s="188"/>
      <c r="AC38" s="188"/>
      <c r="AD38" s="188"/>
      <c r="AE38" s="188"/>
      <c r="AF38" s="184">
        <f>'hoaki past19'!J21</f>
        <v>10052.2</v>
      </c>
      <c r="AG38" s="188"/>
      <c r="AH38" s="188"/>
      <c r="AI38" s="188"/>
      <c r="AJ38" s="189"/>
      <c r="AK38" s="184"/>
      <c r="AL38" s="421">
        <f>L38+M38+N38+O38+P38+Q38+R38+S38+T38+U38+V38+W38+X38+Y38+Z38+AA38+AB38+AC38+AD38+AE38+AF38+AG38+AH38+AI38+AJ38</f>
        <v>10052.2</v>
      </c>
      <c r="AM38" s="421"/>
      <c r="AN38" s="188"/>
      <c r="AO38" s="188"/>
      <c r="AP38" s="188"/>
      <c r="AQ38" s="188"/>
      <c r="AR38" s="188"/>
      <c r="AS38" s="188"/>
      <c r="AT38" s="188"/>
      <c r="AU38" s="92">
        <f t="shared" si="2"/>
        <v>0</v>
      </c>
      <c r="AV38" s="92">
        <f t="shared" si="3"/>
        <v>10052.2</v>
      </c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92">
        <f>AF38-'2019dram'!V38-G38</f>
        <v>-68.29999999999964</v>
      </c>
      <c r="BR38" s="92"/>
      <c r="BS38" s="92"/>
      <c r="BT38" s="92"/>
      <c r="BU38" s="432"/>
      <c r="BV38" s="433">
        <f t="shared" si="8"/>
        <v>-68.29999999999964</v>
      </c>
      <c r="BW38" s="434"/>
      <c r="BX38" s="217"/>
      <c r="BY38" s="217"/>
      <c r="BZ38" s="217"/>
      <c r="CA38" s="217"/>
      <c r="CB38" s="217"/>
      <c r="CC38" s="218"/>
      <c r="CD38" s="180"/>
      <c r="CE38" s="435">
        <f t="shared" si="5"/>
        <v>-68.29999999999964</v>
      </c>
      <c r="CF38" s="219"/>
      <c r="CG38" s="220"/>
      <c r="CH38" s="221">
        <f t="shared" si="6"/>
        <v>0</v>
      </c>
      <c r="CI38" s="161">
        <f t="shared" si="7"/>
        <v>10052.2</v>
      </c>
      <c r="CJ38" s="208"/>
    </row>
    <row r="39" spans="1:88" s="12" customFormat="1" ht="17.25" customHeight="1" thickBot="1">
      <c r="A39" s="308" t="s">
        <v>204</v>
      </c>
      <c r="B39" s="436">
        <f>B34+B35+B36+B37+B38</f>
        <v>0</v>
      </c>
      <c r="C39" s="436">
        <f>C34+C35+C36+C37+C38</f>
        <v>0</v>
      </c>
      <c r="D39" s="436">
        <f aca="true" t="shared" si="15" ref="D39:AV39">D34+D35+D36+D37+D38</f>
        <v>0</v>
      </c>
      <c r="E39" s="436">
        <f t="shared" si="15"/>
        <v>0</v>
      </c>
      <c r="F39" s="436">
        <f t="shared" si="15"/>
        <v>0</v>
      </c>
      <c r="G39" s="436">
        <f t="shared" si="15"/>
        <v>672.8</v>
      </c>
      <c r="H39" s="436">
        <f t="shared" si="15"/>
        <v>0</v>
      </c>
      <c r="I39" s="436">
        <f t="shared" si="15"/>
        <v>0</v>
      </c>
      <c r="J39" s="436">
        <f t="shared" si="15"/>
        <v>0</v>
      </c>
      <c r="K39" s="446">
        <f>C39+D39+E39+G39+I39</f>
        <v>672.8</v>
      </c>
      <c r="L39" s="438">
        <f>L34+L35+L36+L37+L38</f>
        <v>0</v>
      </c>
      <c r="M39" s="436">
        <f>M34+M35+M36+M37+M38</f>
        <v>0</v>
      </c>
      <c r="N39" s="436">
        <f t="shared" si="15"/>
        <v>0</v>
      </c>
      <c r="O39" s="436">
        <f t="shared" si="15"/>
        <v>0</v>
      </c>
      <c r="P39" s="436">
        <f t="shared" si="15"/>
        <v>0</v>
      </c>
      <c r="Q39" s="436">
        <f t="shared" si="15"/>
        <v>0</v>
      </c>
      <c r="R39" s="436">
        <f t="shared" si="15"/>
        <v>0</v>
      </c>
      <c r="S39" s="436">
        <f t="shared" si="15"/>
        <v>0</v>
      </c>
      <c r="T39" s="436">
        <f t="shared" si="15"/>
        <v>0</v>
      </c>
      <c r="U39" s="436">
        <f t="shared" si="15"/>
        <v>0</v>
      </c>
      <c r="V39" s="436">
        <f t="shared" si="15"/>
        <v>0</v>
      </c>
      <c r="W39" s="436">
        <f t="shared" si="15"/>
        <v>0</v>
      </c>
      <c r="X39" s="436">
        <f t="shared" si="15"/>
        <v>0</v>
      </c>
      <c r="Y39" s="436">
        <f t="shared" si="15"/>
        <v>0</v>
      </c>
      <c r="Z39" s="436">
        <f t="shared" si="15"/>
        <v>0</v>
      </c>
      <c r="AA39" s="436">
        <f t="shared" si="15"/>
        <v>0</v>
      </c>
      <c r="AB39" s="436">
        <f t="shared" si="15"/>
        <v>0</v>
      </c>
      <c r="AC39" s="436">
        <f t="shared" si="15"/>
        <v>0</v>
      </c>
      <c r="AD39" s="436">
        <f t="shared" si="15"/>
        <v>0</v>
      </c>
      <c r="AE39" s="436">
        <f t="shared" si="15"/>
        <v>0</v>
      </c>
      <c r="AF39" s="436">
        <f t="shared" si="15"/>
        <v>111409.7</v>
      </c>
      <c r="AG39" s="436">
        <f t="shared" si="15"/>
        <v>3967.4</v>
      </c>
      <c r="AH39" s="436">
        <f t="shared" si="15"/>
        <v>0</v>
      </c>
      <c r="AI39" s="436">
        <f t="shared" si="15"/>
        <v>0</v>
      </c>
      <c r="AJ39" s="436">
        <f t="shared" si="15"/>
        <v>0</v>
      </c>
      <c r="AK39" s="436">
        <f t="shared" si="15"/>
        <v>0</v>
      </c>
      <c r="AL39" s="436">
        <f t="shared" si="15"/>
        <v>115377.09999999999</v>
      </c>
      <c r="AM39" s="436">
        <f t="shared" si="15"/>
        <v>0</v>
      </c>
      <c r="AN39" s="436">
        <f t="shared" si="15"/>
        <v>0</v>
      </c>
      <c r="AO39" s="436">
        <f t="shared" si="15"/>
        <v>0</v>
      </c>
      <c r="AP39" s="436">
        <f t="shared" si="15"/>
        <v>0</v>
      </c>
      <c r="AQ39" s="436">
        <f>SUM(AQ33:AQ38)</f>
        <v>0</v>
      </c>
      <c r="AR39" s="436">
        <f t="shared" si="15"/>
        <v>0</v>
      </c>
      <c r="AS39" s="436">
        <f t="shared" si="15"/>
        <v>0</v>
      </c>
      <c r="AT39" s="436">
        <f t="shared" si="15"/>
        <v>0</v>
      </c>
      <c r="AU39" s="436">
        <f t="shared" si="15"/>
        <v>0</v>
      </c>
      <c r="AV39" s="436">
        <f t="shared" si="15"/>
        <v>115377.09999999999</v>
      </c>
      <c r="AW39" s="436">
        <f aca="true" t="shared" si="16" ref="AW39:BZ39">AW34+AW35+AW36+AW37+AW38</f>
        <v>0</v>
      </c>
      <c r="AX39" s="436">
        <f t="shared" si="16"/>
        <v>0</v>
      </c>
      <c r="AY39" s="436">
        <f t="shared" si="16"/>
        <v>0</v>
      </c>
      <c r="AZ39" s="436">
        <f t="shared" si="16"/>
        <v>0</v>
      </c>
      <c r="BA39" s="436">
        <f t="shared" si="16"/>
        <v>0</v>
      </c>
      <c r="BB39" s="436">
        <f t="shared" si="16"/>
        <v>0</v>
      </c>
      <c r="BC39" s="436">
        <f t="shared" si="16"/>
        <v>0</v>
      </c>
      <c r="BD39" s="436">
        <f t="shared" si="16"/>
        <v>0</v>
      </c>
      <c r="BE39" s="436">
        <f t="shared" si="16"/>
        <v>0</v>
      </c>
      <c r="BF39" s="436">
        <f t="shared" si="16"/>
        <v>0</v>
      </c>
      <c r="BG39" s="436">
        <f t="shared" si="16"/>
        <v>0</v>
      </c>
      <c r="BH39" s="436">
        <f t="shared" si="16"/>
        <v>0</v>
      </c>
      <c r="BI39" s="436">
        <f t="shared" si="16"/>
        <v>0</v>
      </c>
      <c r="BJ39" s="436">
        <f t="shared" si="16"/>
        <v>0</v>
      </c>
      <c r="BK39" s="436">
        <f t="shared" si="16"/>
        <v>0</v>
      </c>
      <c r="BL39" s="436">
        <f t="shared" si="16"/>
        <v>0</v>
      </c>
      <c r="BM39" s="436">
        <f t="shared" si="16"/>
        <v>0</v>
      </c>
      <c r="BN39" s="436">
        <f t="shared" si="16"/>
        <v>0</v>
      </c>
      <c r="BO39" s="436">
        <f t="shared" si="16"/>
        <v>0</v>
      </c>
      <c r="BP39" s="436">
        <f t="shared" si="16"/>
        <v>0</v>
      </c>
      <c r="BQ39" s="436">
        <f t="shared" si="16"/>
        <v>-592.6999999999941</v>
      </c>
      <c r="BR39" s="436">
        <f t="shared" si="16"/>
        <v>0</v>
      </c>
      <c r="BS39" s="436">
        <f t="shared" si="16"/>
        <v>0</v>
      </c>
      <c r="BT39" s="436">
        <f t="shared" si="16"/>
        <v>0</v>
      </c>
      <c r="BU39" s="439">
        <f t="shared" si="16"/>
        <v>0</v>
      </c>
      <c r="BV39" s="437">
        <f t="shared" si="16"/>
        <v>-592.6999999999941</v>
      </c>
      <c r="BW39" s="440">
        <f t="shared" si="16"/>
        <v>0</v>
      </c>
      <c r="BX39" s="441">
        <f t="shared" si="16"/>
        <v>0</v>
      </c>
      <c r="BY39" s="441">
        <f t="shared" si="16"/>
        <v>0</v>
      </c>
      <c r="BZ39" s="441">
        <f t="shared" si="16"/>
        <v>0</v>
      </c>
      <c r="CA39" s="441">
        <f>CA34+CA35+CA36+CA37+CA38</f>
        <v>0</v>
      </c>
      <c r="CB39" s="441">
        <f>CB34+CB35+CB36+CB37+CB38</f>
        <v>0</v>
      </c>
      <c r="CC39" s="442">
        <f>CC34+CC35+CC36+CC37+CC38</f>
        <v>0</v>
      </c>
      <c r="CD39" s="443">
        <f>CD34+CD35+CD36+CD37+CD38</f>
        <v>0</v>
      </c>
      <c r="CE39" s="437">
        <f>CE34+CE35+CE36+CE37+CE38</f>
        <v>-592.6999999999941</v>
      </c>
      <c r="CF39" s="444">
        <f>SUM(CF34:CF38)</f>
        <v>0</v>
      </c>
      <c r="CG39" s="445">
        <f>SUM(CG34:CG38)</f>
        <v>0</v>
      </c>
      <c r="CH39" s="445">
        <f>SUM(CH34:CH38)</f>
        <v>0</v>
      </c>
      <c r="CI39" s="428">
        <f>SUM(CI34:CI38)</f>
        <v>115377.09999999999</v>
      </c>
      <c r="CJ39" s="222"/>
    </row>
    <row r="40" spans="1:88" s="7" customFormat="1" ht="15" customHeight="1">
      <c r="A40" s="296" t="s">
        <v>225</v>
      </c>
      <c r="B40" s="209"/>
      <c r="C40" s="209"/>
      <c r="D40" s="204"/>
      <c r="E40" s="204"/>
      <c r="F40" s="204"/>
      <c r="G40" s="203">
        <f>'hoaki past19'!G23</f>
        <v>3.9</v>
      </c>
      <c r="H40" s="203"/>
      <c r="I40" s="204"/>
      <c r="J40" s="474"/>
      <c r="K40" s="230">
        <f t="shared" si="1"/>
        <v>3.9</v>
      </c>
      <c r="L40" s="205"/>
      <c r="M40" s="186"/>
      <c r="N40" s="186"/>
      <c r="O40" s="186"/>
      <c r="P40" s="186"/>
      <c r="Q40" s="186"/>
      <c r="R40" s="186"/>
      <c r="S40" s="186"/>
      <c r="T40" s="186"/>
      <c r="U40" s="186"/>
      <c r="V40" s="186"/>
      <c r="W40" s="186"/>
      <c r="X40" s="186"/>
      <c r="Y40" s="186"/>
      <c r="Z40" s="186"/>
      <c r="AA40" s="186"/>
      <c r="AB40" s="186"/>
      <c r="AC40" s="186"/>
      <c r="AD40" s="186"/>
      <c r="AE40" s="186"/>
      <c r="AF40" s="186">
        <f>'hoaki past19'!J23</f>
        <v>16621.399999999998</v>
      </c>
      <c r="AG40" s="186"/>
      <c r="AH40" s="186"/>
      <c r="AI40" s="186"/>
      <c r="AJ40" s="187"/>
      <c r="AK40" s="186"/>
      <c r="AL40" s="231">
        <f>L40+M40+N40+O40+P40+Q40+R40+S40+T40+U40+V40+W40+X40+Y40+Z40+AA40+AB40+AC40+AD40+AE40+AF40+AG40+AH40+AI40+AJ40</f>
        <v>16621.399999999998</v>
      </c>
      <c r="AM40" s="231"/>
      <c r="AN40" s="186"/>
      <c r="AO40" s="186"/>
      <c r="AP40" s="186"/>
      <c r="AQ40" s="186"/>
      <c r="AR40" s="186"/>
      <c r="AS40" s="186"/>
      <c r="AT40" s="186"/>
      <c r="AU40" s="27">
        <f t="shared" si="2"/>
        <v>0</v>
      </c>
      <c r="AV40" s="27">
        <f t="shared" si="3"/>
        <v>16621.399999999998</v>
      </c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>
        <f>AF40-'2019dram'!V40-G40</f>
        <v>-2.1826984664130578E-12</v>
      </c>
      <c r="BR40" s="27"/>
      <c r="BS40" s="27"/>
      <c r="BT40" s="27"/>
      <c r="BU40" s="232"/>
      <c r="BV40" s="233">
        <f t="shared" si="8"/>
        <v>-2.1826984664130578E-12</v>
      </c>
      <c r="BW40" s="430"/>
      <c r="BX40" s="206"/>
      <c r="BY40" s="206"/>
      <c r="BZ40" s="206"/>
      <c r="CA40" s="206"/>
      <c r="CB40" s="206"/>
      <c r="CC40" s="207"/>
      <c r="CD40" s="179"/>
      <c r="CE40" s="235">
        <f t="shared" si="5"/>
        <v>-2.1826984664130578E-12</v>
      </c>
      <c r="CF40" s="192"/>
      <c r="CG40" s="193"/>
      <c r="CH40" s="194">
        <f t="shared" si="6"/>
        <v>0</v>
      </c>
      <c r="CI40" s="137">
        <f t="shared" si="7"/>
        <v>16621.399999999998</v>
      </c>
      <c r="CJ40" s="208"/>
    </row>
    <row r="41" spans="1:88" s="7" customFormat="1" ht="15" customHeight="1">
      <c r="A41" s="313" t="s">
        <v>206</v>
      </c>
      <c r="B41" s="211"/>
      <c r="C41" s="211"/>
      <c r="D41" s="212"/>
      <c r="E41" s="212"/>
      <c r="F41" s="204"/>
      <c r="G41" s="203">
        <f>'hoaki past19'!G24</f>
        <v>38.9</v>
      </c>
      <c r="H41" s="203"/>
      <c r="I41" s="204"/>
      <c r="J41" s="474"/>
      <c r="K41" s="230">
        <f t="shared" si="1"/>
        <v>38.9</v>
      </c>
      <c r="L41" s="210"/>
      <c r="M41" s="182"/>
      <c r="N41" s="182"/>
      <c r="O41" s="182"/>
      <c r="P41" s="182"/>
      <c r="Q41" s="182"/>
      <c r="R41" s="182"/>
      <c r="S41" s="182"/>
      <c r="T41" s="182"/>
      <c r="U41" s="182"/>
      <c r="V41" s="182"/>
      <c r="W41" s="182"/>
      <c r="X41" s="182"/>
      <c r="Y41" s="182"/>
      <c r="Z41" s="182"/>
      <c r="AA41" s="182"/>
      <c r="AB41" s="182"/>
      <c r="AC41" s="182"/>
      <c r="AD41" s="182"/>
      <c r="AE41" s="182"/>
      <c r="AF41" s="186">
        <f>'hoaki past19'!J24</f>
        <v>12414.099999999999</v>
      </c>
      <c r="AG41" s="182"/>
      <c r="AH41" s="182"/>
      <c r="AI41" s="182"/>
      <c r="AJ41" s="183"/>
      <c r="AK41" s="186"/>
      <c r="AL41" s="231">
        <f>L41+M41+N41+O41+P41+Q41+R41+S41+T41+U41+V41+W41+X41+Y41+Z41+AA41+AB41+AC41+AD41+AE41+AF41+AG41+AH41+AI41+AJ41</f>
        <v>12414.099999999999</v>
      </c>
      <c r="AM41" s="231"/>
      <c r="AN41" s="182"/>
      <c r="AO41" s="182"/>
      <c r="AP41" s="182"/>
      <c r="AQ41" s="182"/>
      <c r="AR41" s="182"/>
      <c r="AS41" s="182"/>
      <c r="AT41" s="182"/>
      <c r="AU41" s="27">
        <f t="shared" si="2"/>
        <v>0</v>
      </c>
      <c r="AV41" s="27">
        <f t="shared" si="3"/>
        <v>12414.099999999999</v>
      </c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>
        <f>AF41-'2019dram'!V41-G41</f>
        <v>-58.90000000000182</v>
      </c>
      <c r="BR41" s="27"/>
      <c r="BS41" s="27"/>
      <c r="BT41" s="27"/>
      <c r="BU41" s="232"/>
      <c r="BV41" s="233">
        <f t="shared" si="8"/>
        <v>-58.90000000000182</v>
      </c>
      <c r="BW41" s="430"/>
      <c r="BX41" s="206"/>
      <c r="BY41" s="206"/>
      <c r="BZ41" s="206"/>
      <c r="CA41" s="206"/>
      <c r="CB41" s="206"/>
      <c r="CC41" s="207"/>
      <c r="CD41" s="179"/>
      <c r="CE41" s="235">
        <f t="shared" si="5"/>
        <v>-58.90000000000182</v>
      </c>
      <c r="CF41" s="195"/>
      <c r="CG41" s="196"/>
      <c r="CH41" s="185">
        <f t="shared" si="6"/>
        <v>0</v>
      </c>
      <c r="CI41" s="137">
        <f t="shared" si="7"/>
        <v>12414.099999999999</v>
      </c>
      <c r="CJ41" s="208"/>
    </row>
    <row r="42" spans="1:88" s="7" customFormat="1" ht="15" customHeight="1">
      <c r="A42" s="313" t="s">
        <v>207</v>
      </c>
      <c r="B42" s="211"/>
      <c r="C42" s="211"/>
      <c r="D42" s="212"/>
      <c r="E42" s="212"/>
      <c r="F42" s="204"/>
      <c r="G42" s="203">
        <f>'hoaki past19'!G25</f>
        <v>6.2</v>
      </c>
      <c r="H42" s="203"/>
      <c r="I42" s="204"/>
      <c r="J42" s="474"/>
      <c r="K42" s="230">
        <f t="shared" si="1"/>
        <v>6.2</v>
      </c>
      <c r="L42" s="210"/>
      <c r="M42" s="182"/>
      <c r="N42" s="182"/>
      <c r="O42" s="182"/>
      <c r="P42" s="182"/>
      <c r="Q42" s="182"/>
      <c r="R42" s="182"/>
      <c r="S42" s="182"/>
      <c r="T42" s="182"/>
      <c r="U42" s="182"/>
      <c r="V42" s="182"/>
      <c r="W42" s="182"/>
      <c r="X42" s="182"/>
      <c r="Y42" s="182"/>
      <c r="Z42" s="182"/>
      <c r="AA42" s="182"/>
      <c r="AB42" s="182"/>
      <c r="AC42" s="182"/>
      <c r="AD42" s="182"/>
      <c r="AE42" s="182"/>
      <c r="AF42" s="186">
        <f>'hoaki past19'!J25</f>
        <v>20123.6</v>
      </c>
      <c r="AG42" s="182"/>
      <c r="AH42" s="182"/>
      <c r="AI42" s="182"/>
      <c r="AJ42" s="183"/>
      <c r="AK42" s="186"/>
      <c r="AL42" s="231">
        <f>L42+M42+N42+O42+P42+Q42+R42+S42+T42+U42+V42+W42+X42+Y42+Z42+AA42+AB42+AC42+AD42+AE42+AF42+AG42+AH42+AI42+AJ42</f>
        <v>20123.6</v>
      </c>
      <c r="AM42" s="231"/>
      <c r="AN42" s="182"/>
      <c r="AO42" s="182"/>
      <c r="AP42" s="182"/>
      <c r="AQ42" s="182"/>
      <c r="AR42" s="182"/>
      <c r="AS42" s="182"/>
      <c r="AT42" s="182"/>
      <c r="AU42" s="27">
        <f t="shared" si="2"/>
        <v>0</v>
      </c>
      <c r="AV42" s="27">
        <f t="shared" si="3"/>
        <v>20123.6</v>
      </c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>
        <f>AF42-'2019dram'!V42-G42</f>
        <v>-7.600000000001455</v>
      </c>
      <c r="BR42" s="27"/>
      <c r="BS42" s="27"/>
      <c r="BT42" s="27"/>
      <c r="BU42" s="232"/>
      <c r="BV42" s="233">
        <f t="shared" si="8"/>
        <v>-7.600000000001455</v>
      </c>
      <c r="BW42" s="430"/>
      <c r="BX42" s="206"/>
      <c r="BY42" s="206"/>
      <c r="BZ42" s="206"/>
      <c r="CA42" s="206"/>
      <c r="CB42" s="206"/>
      <c r="CC42" s="207"/>
      <c r="CD42" s="179"/>
      <c r="CE42" s="235">
        <f t="shared" si="5"/>
        <v>-7.600000000001455</v>
      </c>
      <c r="CF42" s="195"/>
      <c r="CG42" s="196"/>
      <c r="CH42" s="185">
        <f t="shared" si="6"/>
        <v>0</v>
      </c>
      <c r="CI42" s="137">
        <f t="shared" si="7"/>
        <v>20123.6</v>
      </c>
      <c r="CJ42" s="208"/>
    </row>
    <row r="43" spans="1:88" s="7" customFormat="1" ht="15" customHeight="1">
      <c r="A43" s="313" t="s">
        <v>208</v>
      </c>
      <c r="B43" s="211"/>
      <c r="C43" s="211"/>
      <c r="D43" s="212"/>
      <c r="E43" s="212"/>
      <c r="F43" s="204"/>
      <c r="G43" s="203">
        <f>'hoaki past19'!G26</f>
        <v>0.5</v>
      </c>
      <c r="H43" s="203"/>
      <c r="I43" s="204"/>
      <c r="J43" s="474"/>
      <c r="K43" s="230">
        <f t="shared" si="1"/>
        <v>0.5</v>
      </c>
      <c r="L43" s="210"/>
      <c r="M43" s="182"/>
      <c r="N43" s="182"/>
      <c r="O43" s="182"/>
      <c r="P43" s="182"/>
      <c r="Q43" s="182"/>
      <c r="R43" s="182"/>
      <c r="S43" s="182"/>
      <c r="T43" s="182"/>
      <c r="U43" s="182"/>
      <c r="V43" s="182"/>
      <c r="W43" s="182"/>
      <c r="X43" s="182"/>
      <c r="Y43" s="182"/>
      <c r="Z43" s="182"/>
      <c r="AA43" s="182"/>
      <c r="AB43" s="182"/>
      <c r="AC43" s="182"/>
      <c r="AD43" s="182"/>
      <c r="AE43" s="182"/>
      <c r="AF43" s="186">
        <f>'hoaki past19'!J26</f>
        <v>22953.9</v>
      </c>
      <c r="AG43" s="182"/>
      <c r="AH43" s="182"/>
      <c r="AI43" s="182"/>
      <c r="AJ43" s="183"/>
      <c r="AK43" s="186"/>
      <c r="AL43" s="231">
        <f>L43+M43+N43+O43+P43+Q43+R43+S43+T43+U43+V43+W43+X43+Y43+Z43+AA43+AB43+AC43+AD43+AE43+AF43+AG43+AH43+AI43+AJ43</f>
        <v>22953.9</v>
      </c>
      <c r="AM43" s="231"/>
      <c r="AN43" s="182"/>
      <c r="AO43" s="182"/>
      <c r="AP43" s="182"/>
      <c r="AQ43" s="182"/>
      <c r="AR43" s="182"/>
      <c r="AS43" s="182"/>
      <c r="AT43" s="182"/>
      <c r="AU43" s="27">
        <f t="shared" si="2"/>
        <v>0</v>
      </c>
      <c r="AV43" s="27">
        <f t="shared" si="3"/>
        <v>22953.9</v>
      </c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>
        <f>AF43-'2019dram'!V43-G43</f>
        <v>0</v>
      </c>
      <c r="BR43" s="27"/>
      <c r="BS43" s="27"/>
      <c r="BT43" s="27"/>
      <c r="BU43" s="232"/>
      <c r="BV43" s="233">
        <f t="shared" si="8"/>
        <v>0</v>
      </c>
      <c r="BW43" s="430"/>
      <c r="BX43" s="206"/>
      <c r="BY43" s="206"/>
      <c r="BZ43" s="206"/>
      <c r="CA43" s="206"/>
      <c r="CB43" s="206"/>
      <c r="CC43" s="207"/>
      <c r="CD43" s="179"/>
      <c r="CE43" s="235">
        <f t="shared" si="5"/>
        <v>0</v>
      </c>
      <c r="CF43" s="195"/>
      <c r="CG43" s="196"/>
      <c r="CH43" s="185">
        <f t="shared" si="6"/>
        <v>0</v>
      </c>
      <c r="CI43" s="137">
        <f t="shared" si="7"/>
        <v>22953.9</v>
      </c>
      <c r="CJ43" s="208"/>
    </row>
    <row r="44" spans="1:88" s="7" customFormat="1" ht="15" customHeight="1" thickBot="1">
      <c r="A44" s="313" t="s">
        <v>114</v>
      </c>
      <c r="B44" s="213"/>
      <c r="C44" s="213"/>
      <c r="D44" s="214"/>
      <c r="E44" s="214"/>
      <c r="F44" s="215"/>
      <c r="G44" s="203">
        <f>'hoaki past19'!G27</f>
        <v>466.3</v>
      </c>
      <c r="H44" s="431"/>
      <c r="I44" s="215"/>
      <c r="J44" s="475"/>
      <c r="K44" s="230">
        <f t="shared" si="1"/>
        <v>466.3</v>
      </c>
      <c r="L44" s="216"/>
      <c r="M44" s="188"/>
      <c r="N44" s="188"/>
      <c r="O44" s="188"/>
      <c r="P44" s="188"/>
      <c r="Q44" s="188"/>
      <c r="R44" s="188"/>
      <c r="S44" s="188"/>
      <c r="T44" s="188"/>
      <c r="U44" s="188"/>
      <c r="V44" s="188"/>
      <c r="W44" s="188"/>
      <c r="X44" s="188"/>
      <c r="Y44" s="188"/>
      <c r="Z44" s="188"/>
      <c r="AA44" s="188"/>
      <c r="AB44" s="188"/>
      <c r="AC44" s="188"/>
      <c r="AD44" s="188"/>
      <c r="AE44" s="188"/>
      <c r="AF44" s="186">
        <f>'hoaki past19'!J27</f>
        <v>30498.100000000002</v>
      </c>
      <c r="AG44" s="188"/>
      <c r="AH44" s="188"/>
      <c r="AI44" s="188"/>
      <c r="AJ44" s="189"/>
      <c r="AK44" s="184"/>
      <c r="AL44" s="231">
        <f>L44+M44+N44+O44+P44+Q44+R44+S44+T44+U44+V44+W44+X44+Y44+Z44+AA44+AB44+AC44+AD44+AE44+AF44+AG44+AH44+AI44+AJ44</f>
        <v>30498.100000000002</v>
      </c>
      <c r="AM44" s="421"/>
      <c r="AN44" s="188"/>
      <c r="AO44" s="188"/>
      <c r="AP44" s="188"/>
      <c r="AQ44" s="188"/>
      <c r="AR44" s="188"/>
      <c r="AS44" s="188"/>
      <c r="AT44" s="188"/>
      <c r="AU44" s="27">
        <f t="shared" si="2"/>
        <v>0</v>
      </c>
      <c r="AV44" s="27">
        <f t="shared" si="3"/>
        <v>30498.100000000002</v>
      </c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>
        <f>AF44-'2019dram'!V44-G44</f>
        <v>-443.7999999999964</v>
      </c>
      <c r="BR44" s="27"/>
      <c r="BS44" s="27"/>
      <c r="BT44" s="27"/>
      <c r="BU44" s="232"/>
      <c r="BV44" s="233">
        <f t="shared" si="8"/>
        <v>-443.7999999999964</v>
      </c>
      <c r="BW44" s="430"/>
      <c r="BX44" s="217"/>
      <c r="BY44" s="217"/>
      <c r="BZ44" s="217"/>
      <c r="CA44" s="217"/>
      <c r="CB44" s="217"/>
      <c r="CC44" s="218"/>
      <c r="CD44" s="179"/>
      <c r="CE44" s="235">
        <f t="shared" si="5"/>
        <v>-443.7999999999964</v>
      </c>
      <c r="CF44" s="195"/>
      <c r="CG44" s="196"/>
      <c r="CH44" s="185">
        <f t="shared" si="6"/>
        <v>0</v>
      </c>
      <c r="CI44" s="137">
        <f t="shared" si="7"/>
        <v>30498.100000000002</v>
      </c>
      <c r="CJ44" s="208"/>
    </row>
    <row r="45" spans="1:88" s="177" customFormat="1" ht="24.75" customHeight="1" thickBot="1">
      <c r="A45" s="308" t="s">
        <v>144</v>
      </c>
      <c r="B45" s="447">
        <f>B33+B39+B40+B41+B42+B43+B44</f>
        <v>0</v>
      </c>
      <c r="C45" s="447">
        <f>C33+C39+C40+C41+C42+C43+C44</f>
        <v>0</v>
      </c>
      <c r="D45" s="447">
        <f aca="true" t="shared" si="17" ref="D45:CE45">D33+D39+D40+D41+D42+D43+D44</f>
        <v>0</v>
      </c>
      <c r="E45" s="447">
        <f t="shared" si="17"/>
        <v>0</v>
      </c>
      <c r="F45" s="447">
        <f>F33+F39+F40+F41+F42+F43+F44</f>
        <v>0</v>
      </c>
      <c r="G45" s="447">
        <f>G33+G39+G40+G41+G42+G43+G44</f>
        <v>1993</v>
      </c>
      <c r="H45" s="447"/>
      <c r="I45" s="447">
        <f t="shared" si="17"/>
        <v>0</v>
      </c>
      <c r="J45" s="447">
        <f t="shared" si="17"/>
        <v>0</v>
      </c>
      <c r="K45" s="448">
        <f t="shared" si="17"/>
        <v>1993</v>
      </c>
      <c r="L45" s="449">
        <f t="shared" si="17"/>
        <v>0</v>
      </c>
      <c r="M45" s="447">
        <f t="shared" si="17"/>
        <v>0</v>
      </c>
      <c r="N45" s="447">
        <f t="shared" si="17"/>
        <v>0</v>
      </c>
      <c r="O45" s="447">
        <f t="shared" si="17"/>
        <v>0</v>
      </c>
      <c r="P45" s="447">
        <f t="shared" si="17"/>
        <v>0</v>
      </c>
      <c r="Q45" s="447">
        <f t="shared" si="17"/>
        <v>0</v>
      </c>
      <c r="R45" s="447">
        <f t="shared" si="17"/>
        <v>0</v>
      </c>
      <c r="S45" s="447">
        <f t="shared" si="17"/>
        <v>0</v>
      </c>
      <c r="T45" s="447">
        <f t="shared" si="17"/>
        <v>0</v>
      </c>
      <c r="U45" s="447">
        <f t="shared" si="17"/>
        <v>0</v>
      </c>
      <c r="V45" s="447">
        <f t="shared" si="17"/>
        <v>0</v>
      </c>
      <c r="W45" s="447">
        <f t="shared" si="17"/>
        <v>0</v>
      </c>
      <c r="X45" s="447">
        <f t="shared" si="17"/>
        <v>0</v>
      </c>
      <c r="Y45" s="447">
        <f t="shared" si="17"/>
        <v>0</v>
      </c>
      <c r="Z45" s="447">
        <f t="shared" si="17"/>
        <v>0</v>
      </c>
      <c r="AA45" s="447">
        <f t="shared" si="17"/>
        <v>0</v>
      </c>
      <c r="AB45" s="447">
        <f t="shared" si="17"/>
        <v>0</v>
      </c>
      <c r="AC45" s="447">
        <f t="shared" si="17"/>
        <v>0</v>
      </c>
      <c r="AD45" s="447">
        <f t="shared" si="17"/>
        <v>0</v>
      </c>
      <c r="AE45" s="447">
        <f t="shared" si="17"/>
        <v>0</v>
      </c>
      <c r="AF45" s="447">
        <f t="shared" si="17"/>
        <v>519844.3</v>
      </c>
      <c r="AG45" s="447">
        <f t="shared" si="17"/>
        <v>3967.4</v>
      </c>
      <c r="AH45" s="447">
        <f t="shared" si="17"/>
        <v>0</v>
      </c>
      <c r="AI45" s="447">
        <f t="shared" si="17"/>
        <v>0</v>
      </c>
      <c r="AJ45" s="447">
        <f aca="true" t="shared" si="18" ref="AJ45:AO45">AJ33+AJ39+AJ40+AJ41+AJ42+AJ43+AJ44</f>
        <v>0</v>
      </c>
      <c r="AK45" s="447">
        <f t="shared" si="18"/>
        <v>0</v>
      </c>
      <c r="AL45" s="447">
        <f t="shared" si="18"/>
        <v>523811.69999999995</v>
      </c>
      <c r="AM45" s="447">
        <f t="shared" si="18"/>
        <v>0</v>
      </c>
      <c r="AN45" s="447">
        <f t="shared" si="18"/>
        <v>0</v>
      </c>
      <c r="AO45" s="447">
        <f t="shared" si="18"/>
        <v>0</v>
      </c>
      <c r="AP45" s="447">
        <f t="shared" si="17"/>
        <v>0</v>
      </c>
      <c r="AQ45" s="447">
        <f t="shared" si="17"/>
        <v>0</v>
      </c>
      <c r="AR45" s="447">
        <f t="shared" si="17"/>
        <v>0</v>
      </c>
      <c r="AS45" s="447">
        <f t="shared" si="17"/>
        <v>0</v>
      </c>
      <c r="AT45" s="447">
        <f t="shared" si="17"/>
        <v>0</v>
      </c>
      <c r="AU45" s="447">
        <f t="shared" si="17"/>
        <v>0</v>
      </c>
      <c r="AV45" s="447">
        <f t="shared" si="17"/>
        <v>523811.69999999995</v>
      </c>
      <c r="AW45" s="447">
        <f t="shared" si="17"/>
        <v>0</v>
      </c>
      <c r="AX45" s="447">
        <f t="shared" si="17"/>
        <v>0</v>
      </c>
      <c r="AY45" s="447">
        <f t="shared" si="17"/>
        <v>0</v>
      </c>
      <c r="AZ45" s="447">
        <f t="shared" si="17"/>
        <v>0</v>
      </c>
      <c r="BA45" s="447">
        <f t="shared" si="17"/>
        <v>0</v>
      </c>
      <c r="BB45" s="447">
        <f t="shared" si="17"/>
        <v>0</v>
      </c>
      <c r="BC45" s="447">
        <f t="shared" si="17"/>
        <v>0</v>
      </c>
      <c r="BD45" s="447">
        <f t="shared" si="17"/>
        <v>0</v>
      </c>
      <c r="BE45" s="447">
        <f t="shared" si="17"/>
        <v>0</v>
      </c>
      <c r="BF45" s="447">
        <f t="shared" si="17"/>
        <v>0</v>
      </c>
      <c r="BG45" s="447">
        <f t="shared" si="17"/>
        <v>0</v>
      </c>
      <c r="BH45" s="447">
        <f t="shared" si="17"/>
        <v>0</v>
      </c>
      <c r="BI45" s="447">
        <f t="shared" si="17"/>
        <v>0</v>
      </c>
      <c r="BJ45" s="447">
        <f t="shared" si="17"/>
        <v>0</v>
      </c>
      <c r="BK45" s="447">
        <f t="shared" si="17"/>
        <v>0</v>
      </c>
      <c r="BL45" s="447">
        <f t="shared" si="17"/>
        <v>0</v>
      </c>
      <c r="BM45" s="447">
        <f t="shared" si="17"/>
        <v>0</v>
      </c>
      <c r="BN45" s="447">
        <f t="shared" si="17"/>
        <v>0</v>
      </c>
      <c r="BO45" s="447">
        <f t="shared" si="17"/>
        <v>0</v>
      </c>
      <c r="BP45" s="447">
        <f t="shared" si="17"/>
        <v>0</v>
      </c>
      <c r="BQ45" s="447">
        <f t="shared" si="17"/>
        <v>-1681.000000000009</v>
      </c>
      <c r="BR45" s="447">
        <f t="shared" si="17"/>
        <v>0</v>
      </c>
      <c r="BS45" s="447">
        <f t="shared" si="17"/>
        <v>0</v>
      </c>
      <c r="BT45" s="447">
        <f t="shared" si="17"/>
        <v>0</v>
      </c>
      <c r="BU45" s="450">
        <f t="shared" si="17"/>
        <v>0</v>
      </c>
      <c r="BV45" s="448">
        <f>BV33+BV39+BV40+BV41+BV42+BV43+BV44</f>
        <v>-1681.000000000009</v>
      </c>
      <c r="BW45" s="451">
        <f>BW33+BW39+BW40+BW41+BW42+BW43+BW44</f>
        <v>0</v>
      </c>
      <c r="BX45" s="452">
        <f>BX33+BX39+BX40+BX41+BX42+BX43+BX44</f>
        <v>0</v>
      </c>
      <c r="BY45" s="452">
        <f>BY33+BY39+BY40+BY41+BY42+BY43+BY44</f>
        <v>0</v>
      </c>
      <c r="BZ45" s="452">
        <f t="shared" si="17"/>
        <v>0</v>
      </c>
      <c r="CA45" s="452">
        <f t="shared" si="17"/>
        <v>0</v>
      </c>
      <c r="CB45" s="452">
        <f t="shared" si="17"/>
        <v>0</v>
      </c>
      <c r="CC45" s="453">
        <f t="shared" si="17"/>
        <v>0</v>
      </c>
      <c r="CD45" s="454">
        <f t="shared" si="17"/>
        <v>0</v>
      </c>
      <c r="CE45" s="448">
        <f t="shared" si="17"/>
        <v>-1681.000000000009</v>
      </c>
      <c r="CF45" s="455">
        <f>CF33+CF39+CF40+CF41+CF42+CF43+CF44</f>
        <v>0</v>
      </c>
      <c r="CG45" s="456">
        <f>CG33+CG39+CG40+CG41+CG42+CG43+CG44</f>
        <v>0</v>
      </c>
      <c r="CH45" s="456">
        <f>CH33+CH39+CH40+CH41+CH42+CH43+CH44</f>
        <v>0</v>
      </c>
      <c r="CI45" s="457">
        <f>CI33+CI39+CI40+CI41+CI42+CI43+CI44</f>
        <v>523811.69999999995</v>
      </c>
      <c r="CJ45" s="223"/>
    </row>
    <row r="46" spans="1:88" s="178" customFormat="1" ht="22.5" customHeight="1" thickBot="1">
      <c r="A46" s="379" t="s">
        <v>20</v>
      </c>
      <c r="B46" s="458">
        <f>B45+B20</f>
        <v>1402.8999999999999</v>
      </c>
      <c r="C46" s="458">
        <f>C45+C20</f>
        <v>711.9</v>
      </c>
      <c r="D46" s="458">
        <f>D45+D20</f>
        <v>5.3</v>
      </c>
      <c r="E46" s="459">
        <f aca="true" t="shared" si="19" ref="E46:BU46">E45+E20</f>
        <v>26.2</v>
      </c>
      <c r="F46" s="459">
        <f>F45+F20</f>
        <v>-711.9</v>
      </c>
      <c r="G46" s="459">
        <f>G45+G20</f>
        <v>1993</v>
      </c>
      <c r="H46" s="459">
        <f>H45+H20</f>
        <v>19.5</v>
      </c>
      <c r="I46" s="459">
        <f t="shared" si="19"/>
        <v>-173.6</v>
      </c>
      <c r="J46" s="459">
        <f t="shared" si="19"/>
        <v>-258.9</v>
      </c>
      <c r="K46" s="460">
        <f t="shared" si="19"/>
        <v>3014.3999999999996</v>
      </c>
      <c r="L46" s="461">
        <f t="shared" si="19"/>
        <v>167515.19999999998</v>
      </c>
      <c r="M46" s="461">
        <f t="shared" si="19"/>
        <v>13309.4</v>
      </c>
      <c r="N46" s="461">
        <f t="shared" si="19"/>
        <v>7585.400000000001</v>
      </c>
      <c r="O46" s="461">
        <f t="shared" si="19"/>
        <v>2104.2000000000003</v>
      </c>
      <c r="P46" s="461">
        <f t="shared" si="19"/>
        <v>3167.7</v>
      </c>
      <c r="Q46" s="461">
        <f t="shared" si="19"/>
        <v>258</v>
      </c>
      <c r="R46" s="461">
        <f t="shared" si="19"/>
        <v>1236.2</v>
      </c>
      <c r="S46" s="459">
        <f t="shared" si="19"/>
        <v>0</v>
      </c>
      <c r="T46" s="459">
        <f t="shared" si="19"/>
        <v>779.6</v>
      </c>
      <c r="U46" s="459">
        <f t="shared" si="19"/>
        <v>245</v>
      </c>
      <c r="V46" s="462">
        <f t="shared" si="19"/>
        <v>846.8</v>
      </c>
      <c r="W46" s="459">
        <f t="shared" si="19"/>
        <v>3656.1</v>
      </c>
      <c r="X46" s="459">
        <f t="shared" si="19"/>
        <v>4121.599999999999</v>
      </c>
      <c r="Y46" s="459">
        <f t="shared" si="19"/>
        <v>13206.4</v>
      </c>
      <c r="Z46" s="462">
        <f t="shared" si="19"/>
        <v>1660</v>
      </c>
      <c r="AA46" s="459">
        <f t="shared" si="19"/>
        <v>4055.8</v>
      </c>
      <c r="AB46" s="459">
        <f t="shared" si="19"/>
        <v>300</v>
      </c>
      <c r="AC46" s="459">
        <f t="shared" si="19"/>
        <v>41741.9</v>
      </c>
      <c r="AD46" s="459">
        <f t="shared" si="19"/>
        <v>3095.3</v>
      </c>
      <c r="AE46" s="459">
        <f t="shared" si="19"/>
        <v>-125</v>
      </c>
      <c r="AF46" s="459">
        <f t="shared" si="19"/>
        <v>519844.3</v>
      </c>
      <c r="AG46" s="459">
        <f t="shared" si="19"/>
        <v>3967.4</v>
      </c>
      <c r="AH46" s="459">
        <f t="shared" si="19"/>
        <v>8395.6</v>
      </c>
      <c r="AI46" s="462">
        <f t="shared" si="19"/>
        <v>2110</v>
      </c>
      <c r="AJ46" s="459">
        <f aca="true" t="shared" si="20" ref="AJ46:AO46">AJ45+AJ20</f>
        <v>4943.2</v>
      </c>
      <c r="AK46" s="459">
        <f t="shared" si="20"/>
        <v>0</v>
      </c>
      <c r="AL46" s="459">
        <f t="shared" si="20"/>
        <v>808020.0999999999</v>
      </c>
      <c r="AM46" s="459">
        <f t="shared" si="20"/>
        <v>2800</v>
      </c>
      <c r="AN46" s="459">
        <f t="shared" si="20"/>
        <v>9141.1</v>
      </c>
      <c r="AO46" s="459">
        <f t="shared" si="20"/>
        <v>54349.2</v>
      </c>
      <c r="AP46" s="459">
        <f t="shared" si="19"/>
        <v>4300</v>
      </c>
      <c r="AQ46" s="462">
        <f t="shared" si="19"/>
        <v>238</v>
      </c>
      <c r="AR46" s="462">
        <f t="shared" si="19"/>
        <v>12863.7</v>
      </c>
      <c r="AS46" s="462">
        <f t="shared" si="19"/>
        <v>0</v>
      </c>
      <c r="AT46" s="462">
        <f t="shared" si="19"/>
        <v>1634</v>
      </c>
      <c r="AU46" s="459">
        <f t="shared" si="19"/>
        <v>85326</v>
      </c>
      <c r="AV46" s="459">
        <f t="shared" si="19"/>
        <v>893346.0999999999</v>
      </c>
      <c r="AW46" s="459">
        <f t="shared" si="19"/>
        <v>3.325340003357269E-12</v>
      </c>
      <c r="AX46" s="459">
        <f t="shared" si="19"/>
        <v>0</v>
      </c>
      <c r="AY46" s="459">
        <f t="shared" si="19"/>
        <v>632.2</v>
      </c>
      <c r="AZ46" s="459">
        <f t="shared" si="19"/>
        <v>6.855627177060342E-14</v>
      </c>
      <c r="BA46" s="459">
        <f t="shared" si="19"/>
        <v>107.70000000000023</v>
      </c>
      <c r="BB46" s="459">
        <f t="shared" si="19"/>
        <v>0</v>
      </c>
      <c r="BC46" s="459">
        <f t="shared" si="19"/>
        <v>0</v>
      </c>
      <c r="BD46" s="459">
        <f t="shared" si="19"/>
        <v>0</v>
      </c>
      <c r="BE46" s="462">
        <f t="shared" si="19"/>
        <v>0</v>
      </c>
      <c r="BF46" s="462">
        <f t="shared" si="19"/>
        <v>0</v>
      </c>
      <c r="BG46" s="462">
        <f t="shared" si="19"/>
        <v>0</v>
      </c>
      <c r="BH46" s="462">
        <f t="shared" si="19"/>
        <v>0</v>
      </c>
      <c r="BI46" s="462">
        <f t="shared" si="19"/>
        <v>0</v>
      </c>
      <c r="BJ46" s="463">
        <f t="shared" si="19"/>
        <v>0</v>
      </c>
      <c r="BK46" s="459">
        <f t="shared" si="19"/>
        <v>0</v>
      </c>
      <c r="BL46" s="459">
        <f t="shared" si="19"/>
        <v>0</v>
      </c>
      <c r="BM46" s="459">
        <f t="shared" si="19"/>
        <v>0</v>
      </c>
      <c r="BN46" s="459">
        <f t="shared" si="19"/>
        <v>0</v>
      </c>
      <c r="BO46" s="459">
        <f t="shared" si="19"/>
        <v>0</v>
      </c>
      <c r="BP46" s="459">
        <f t="shared" si="19"/>
        <v>0</v>
      </c>
      <c r="BQ46" s="459">
        <f t="shared" si="19"/>
        <v>-1681.000000000009</v>
      </c>
      <c r="BR46" s="459">
        <f t="shared" si="19"/>
        <v>0</v>
      </c>
      <c r="BS46" s="459">
        <f t="shared" si="19"/>
        <v>0</v>
      </c>
      <c r="BT46" s="459">
        <f t="shared" si="19"/>
        <v>0</v>
      </c>
      <c r="BU46" s="464">
        <f t="shared" si="19"/>
        <v>0</v>
      </c>
      <c r="BV46" s="465">
        <f>BV45+BV20</f>
        <v>-941.1000000000055</v>
      </c>
      <c r="BW46" s="461">
        <f>BW45+BW20</f>
        <v>0</v>
      </c>
      <c r="BX46" s="459">
        <f>BX45+BX20</f>
        <v>590.4999999999997</v>
      </c>
      <c r="BY46" s="459">
        <f>BY45+BY20</f>
        <v>2360.6000000000026</v>
      </c>
      <c r="BZ46" s="459">
        <f aca="true" t="shared" si="21" ref="BZ46:CH46">BZ45+BZ20</f>
        <v>0</v>
      </c>
      <c r="CA46" s="459">
        <f t="shared" si="21"/>
        <v>0</v>
      </c>
      <c r="CB46" s="459">
        <f t="shared" si="21"/>
        <v>0</v>
      </c>
      <c r="CC46" s="466">
        <f t="shared" si="21"/>
        <v>0</v>
      </c>
      <c r="CD46" s="465">
        <f t="shared" si="21"/>
        <v>2951.100000000002</v>
      </c>
      <c r="CE46" s="465">
        <f t="shared" si="21"/>
        <v>2009.9999999999968</v>
      </c>
      <c r="CF46" s="467">
        <f t="shared" si="21"/>
        <v>-1075.4</v>
      </c>
      <c r="CG46" s="468">
        <f t="shared" si="21"/>
        <v>-5029.3</v>
      </c>
      <c r="CH46" s="468">
        <f t="shared" si="21"/>
        <v>-6104.700000000001</v>
      </c>
      <c r="CI46" s="469">
        <f>CI45+CI20</f>
        <v>887241.3999999999</v>
      </c>
      <c r="CJ46" s="224"/>
    </row>
    <row r="47" ht="12.75">
      <c r="A47" s="11" t="s">
        <v>179</v>
      </c>
    </row>
  </sheetData>
  <sheetProtection/>
  <mergeCells count="7">
    <mergeCell ref="CI3:CI4"/>
    <mergeCell ref="AW3:CE3"/>
    <mergeCell ref="A1:R1"/>
    <mergeCell ref="A3:A4"/>
    <mergeCell ref="L3:AV3"/>
    <mergeCell ref="CF3:CH3"/>
    <mergeCell ref="B3:K3"/>
  </mergeCells>
  <printOptions/>
  <pageMargins left="0.7086614173228347" right="0.7086614173228347" top="0.2362204724409449" bottom="0.7480314960629921" header="0.3937007874015748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61"/>
  <sheetViews>
    <sheetView tabSelected="1" view="pageBreakPreview" zoomScaleSheetLayoutView="100" workbookViewId="0" topLeftCell="A1">
      <selection activeCell="V4" sqref="V4"/>
    </sheetView>
  </sheetViews>
  <sheetFormatPr defaultColWidth="9.140625" defaultRowHeight="12.75"/>
  <cols>
    <col min="1" max="2" width="9.140625" style="68" customWidth="1"/>
    <col min="3" max="3" width="20.140625" style="68" customWidth="1"/>
    <col min="4" max="4" width="0" style="68" hidden="1" customWidth="1"/>
    <col min="5" max="5" width="9.00390625" style="68" customWidth="1"/>
    <col min="6" max="6" width="7.7109375" style="68" hidden="1" customWidth="1"/>
    <col min="7" max="7" width="10.7109375" style="68" hidden="1" customWidth="1"/>
    <col min="8" max="8" width="10.28125" style="68" hidden="1" customWidth="1"/>
    <col min="9" max="9" width="12.57421875" style="68" customWidth="1"/>
    <col min="10" max="11" width="13.140625" style="68" customWidth="1"/>
    <col min="12" max="12" width="13.8515625" style="68" customWidth="1"/>
    <col min="13" max="14" width="13.7109375" style="68" customWidth="1"/>
    <col min="15" max="16384" width="9.140625" style="68" customWidth="1"/>
  </cols>
  <sheetData>
    <row r="1" spans="1:12" ht="15.75" customHeight="1">
      <c r="A1" s="699" t="s">
        <v>22</v>
      </c>
      <c r="B1" s="699"/>
      <c r="C1" s="699"/>
      <c r="D1" s="699"/>
      <c r="E1" s="699"/>
      <c r="F1" s="699"/>
      <c r="G1" s="699"/>
      <c r="H1" s="699"/>
      <c r="I1" s="699"/>
      <c r="J1" s="699"/>
      <c r="K1" s="699"/>
      <c r="L1" s="699"/>
    </row>
    <row r="2" spans="1:13" ht="33" customHeight="1" thickBot="1">
      <c r="A2" s="731" t="s">
        <v>229</v>
      </c>
      <c r="B2" s="731"/>
      <c r="C2" s="731"/>
      <c r="D2" s="731"/>
      <c r="E2" s="731"/>
      <c r="F2" s="731"/>
      <c r="G2" s="731"/>
      <c r="H2" s="731"/>
      <c r="I2" s="731"/>
      <c r="J2" s="731"/>
      <c r="K2" s="731"/>
      <c r="L2" s="731"/>
      <c r="M2" s="731"/>
    </row>
    <row r="3" spans="1:13" ht="15" customHeight="1" thickBot="1">
      <c r="A3" s="700" t="s">
        <v>23</v>
      </c>
      <c r="B3" s="701"/>
      <c r="C3" s="702"/>
      <c r="D3" s="706" t="s">
        <v>24</v>
      </c>
      <c r="E3" s="70"/>
      <c r="F3" s="735" t="s">
        <v>92</v>
      </c>
      <c r="G3" s="708" t="s">
        <v>25</v>
      </c>
      <c r="H3" s="710" t="s">
        <v>48</v>
      </c>
      <c r="I3" s="715" t="s">
        <v>230</v>
      </c>
      <c r="J3" s="618" t="s">
        <v>251</v>
      </c>
      <c r="K3" s="619"/>
      <c r="L3" s="715" t="s">
        <v>245</v>
      </c>
      <c r="M3" s="685" t="s">
        <v>167</v>
      </c>
    </row>
    <row r="4" spans="1:13" ht="35.25" customHeight="1" thickBot="1">
      <c r="A4" s="703"/>
      <c r="B4" s="704"/>
      <c r="C4" s="705"/>
      <c r="D4" s="707"/>
      <c r="E4" s="71" t="s">
        <v>94</v>
      </c>
      <c r="F4" s="736"/>
      <c r="G4" s="709"/>
      <c r="H4" s="711"/>
      <c r="I4" s="711"/>
      <c r="J4" s="72" t="s">
        <v>95</v>
      </c>
      <c r="K4" s="103" t="s">
        <v>96</v>
      </c>
      <c r="L4" s="716"/>
      <c r="M4" s="686"/>
    </row>
    <row r="5" spans="1:13" s="116" customFormat="1" ht="22.5" customHeight="1">
      <c r="A5" s="717" t="s">
        <v>20</v>
      </c>
      <c r="B5" s="718"/>
      <c r="C5" s="719"/>
      <c r="D5" s="112"/>
      <c r="E5" s="112"/>
      <c r="F5" s="113" t="s">
        <v>93</v>
      </c>
      <c r="G5" s="114" t="e">
        <f>SUM(G7,G34,-#REF!)</f>
        <v>#REF!</v>
      </c>
      <c r="H5" s="115" t="e">
        <f>SUM(H7,H34,-#REF!)</f>
        <v>#REF!</v>
      </c>
      <c r="I5" s="115">
        <f>SUM(I7,I34,I42)</f>
        <v>3014.3999999999996</v>
      </c>
      <c r="J5" s="114">
        <f>SUM(J7+J34+J42-J33)</f>
        <v>882216.9999999999</v>
      </c>
      <c r="K5" s="114">
        <f>SUM(K7+K34+K42-K33)</f>
        <v>887241.3999999999</v>
      </c>
      <c r="L5" s="172">
        <f>SUM(L7,L34,)</f>
        <v>2010.0000000000498</v>
      </c>
      <c r="M5" s="165"/>
    </row>
    <row r="6" spans="1:13" ht="4.5" customHeight="1">
      <c r="A6" s="712"/>
      <c r="B6" s="713"/>
      <c r="C6" s="714"/>
      <c r="D6" s="74"/>
      <c r="E6" s="74"/>
      <c r="F6" s="74"/>
      <c r="G6" s="73"/>
      <c r="H6" s="100"/>
      <c r="I6" s="100"/>
      <c r="J6" s="73"/>
      <c r="K6" s="104"/>
      <c r="L6" s="173"/>
      <c r="M6" s="166"/>
    </row>
    <row r="7" spans="1:13" ht="18.75" customHeight="1">
      <c r="A7" s="737" t="s">
        <v>26</v>
      </c>
      <c r="B7" s="738"/>
      <c r="C7" s="739"/>
      <c r="D7" s="117"/>
      <c r="E7" s="117"/>
      <c r="F7" s="117"/>
      <c r="G7" s="118">
        <f>SUM(G8:G32)</f>
        <v>500867.29999999993</v>
      </c>
      <c r="H7" s="119">
        <f>SUM(H8:H32)</f>
        <v>500867.29999999993</v>
      </c>
      <c r="I7" s="119">
        <f>SUM(I8:I33)</f>
        <v>3446.8999999999996</v>
      </c>
      <c r="J7" s="118">
        <f>SUM(J8:J33)</f>
        <v>805514.2999999998</v>
      </c>
      <c r="K7" s="120">
        <f>SUM(K8:K33)</f>
        <v>808020.0999999999</v>
      </c>
      <c r="L7" s="118">
        <f>SUM(L8:L33)</f>
        <v>-941.0999999999469</v>
      </c>
      <c r="M7" s="166"/>
    </row>
    <row r="8" spans="1:13" ht="15.75" customHeight="1">
      <c r="A8" s="693" t="s">
        <v>27</v>
      </c>
      <c r="B8" s="694"/>
      <c r="C8" s="695"/>
      <c r="D8" s="75" t="s">
        <v>17</v>
      </c>
      <c r="E8" s="75" t="s">
        <v>3</v>
      </c>
      <c r="F8" s="75"/>
      <c r="G8" s="76">
        <v>276414.3</v>
      </c>
      <c r="H8" s="77">
        <v>276414.3</v>
      </c>
      <c r="I8" s="129">
        <f>'2019past'!B46</f>
        <v>1402.8999999999999</v>
      </c>
      <c r="J8" s="76">
        <f>'2019dram'!B46</f>
        <v>166112.3</v>
      </c>
      <c r="K8" s="77">
        <f>'2019past'!L46</f>
        <v>167515.19999999998</v>
      </c>
      <c r="L8" s="174">
        <f>SUM(K8-J8-I8)</f>
        <v>-5.6843418860808015E-12</v>
      </c>
      <c r="M8" s="166" t="s">
        <v>16</v>
      </c>
    </row>
    <row r="9" spans="1:13" ht="15.75" customHeight="1">
      <c r="A9" s="679" t="s">
        <v>73</v>
      </c>
      <c r="B9" s="680"/>
      <c r="C9" s="681"/>
      <c r="D9" s="75" t="s">
        <v>18</v>
      </c>
      <c r="E9" s="75" t="s">
        <v>74</v>
      </c>
      <c r="F9" s="75"/>
      <c r="G9" s="76">
        <v>0</v>
      </c>
      <c r="H9" s="77">
        <v>0</v>
      </c>
      <c r="I9" s="129">
        <f>'2019past'!C45</f>
        <v>0</v>
      </c>
      <c r="J9" s="76">
        <f>'2019dram'!C46</f>
        <v>13309.4</v>
      </c>
      <c r="K9" s="77">
        <f>'2019past'!M46</f>
        <v>13309.4</v>
      </c>
      <c r="L9" s="174">
        <f aca="true" t="shared" si="0" ref="L9:L41">SUM(K9-J9-I9)</f>
        <v>0</v>
      </c>
      <c r="M9" s="166"/>
    </row>
    <row r="10" spans="1:13" ht="15.75" customHeight="1">
      <c r="A10" s="732" t="s">
        <v>61</v>
      </c>
      <c r="B10" s="733"/>
      <c r="C10" s="734"/>
      <c r="D10" s="75" t="s">
        <v>35</v>
      </c>
      <c r="E10" s="75" t="s">
        <v>4</v>
      </c>
      <c r="F10" s="75" t="s">
        <v>89</v>
      </c>
      <c r="G10" s="76">
        <v>35634.2</v>
      </c>
      <c r="H10" s="77">
        <v>35634.2</v>
      </c>
      <c r="I10" s="129">
        <f>'2019past'!C46</f>
        <v>711.9</v>
      </c>
      <c r="J10" s="76">
        <f>'2019dram'!D46</f>
        <v>6241.3</v>
      </c>
      <c r="K10" s="77">
        <f>'2019past'!N46</f>
        <v>7585.400000000001</v>
      </c>
      <c r="L10" s="174">
        <f t="shared" si="0"/>
        <v>632.2000000000004</v>
      </c>
      <c r="M10" s="166"/>
    </row>
    <row r="11" spans="1:13" ht="15.75" customHeight="1">
      <c r="A11" s="732" t="s">
        <v>62</v>
      </c>
      <c r="B11" s="733"/>
      <c r="C11" s="734"/>
      <c r="D11" s="75"/>
      <c r="E11" s="75" t="s">
        <v>5</v>
      </c>
      <c r="F11" s="75" t="s">
        <v>90</v>
      </c>
      <c r="G11" s="76">
        <v>12642.7</v>
      </c>
      <c r="H11" s="77">
        <v>12642.7</v>
      </c>
      <c r="I11" s="129">
        <f>'2019past'!D46</f>
        <v>5.3</v>
      </c>
      <c r="J11" s="76">
        <f>'2019dram'!E46</f>
        <v>2098.9</v>
      </c>
      <c r="K11" s="77">
        <f>'2019past'!O46</f>
        <v>2104.2000000000003</v>
      </c>
      <c r="L11" s="174">
        <f t="shared" si="0"/>
        <v>1.8207657603852567E-13</v>
      </c>
      <c r="M11" s="166"/>
    </row>
    <row r="12" spans="1:13" ht="15.75" customHeight="1">
      <c r="A12" s="696" t="s">
        <v>33</v>
      </c>
      <c r="B12" s="697"/>
      <c r="C12" s="698"/>
      <c r="D12" s="75" t="s">
        <v>34</v>
      </c>
      <c r="E12" s="75" t="s">
        <v>6</v>
      </c>
      <c r="F12" s="75" t="s">
        <v>91</v>
      </c>
      <c r="G12" s="76">
        <v>5710</v>
      </c>
      <c r="H12" s="77">
        <v>5710</v>
      </c>
      <c r="I12" s="129">
        <f>'2019past'!E46</f>
        <v>26.2</v>
      </c>
      <c r="J12" s="76">
        <f>'2019dram'!F46</f>
        <v>3033.8</v>
      </c>
      <c r="K12" s="77">
        <f>'2019past'!P46</f>
        <v>3167.7</v>
      </c>
      <c r="L12" s="174">
        <f t="shared" si="0"/>
        <v>107.69999999999963</v>
      </c>
      <c r="M12" s="166"/>
    </row>
    <row r="13" spans="1:13" ht="15.75" customHeight="1">
      <c r="A13" s="682" t="s">
        <v>77</v>
      </c>
      <c r="B13" s="683"/>
      <c r="C13" s="684"/>
      <c r="D13" s="75"/>
      <c r="E13" s="75" t="s">
        <v>78</v>
      </c>
      <c r="F13" s="75"/>
      <c r="G13" s="76"/>
      <c r="H13" s="77"/>
      <c r="I13" s="129"/>
      <c r="J13" s="76">
        <f>'2019dram'!G46</f>
        <v>258</v>
      </c>
      <c r="K13" s="77">
        <f>'2019past'!Q46</f>
        <v>258</v>
      </c>
      <c r="L13" s="174">
        <f t="shared" si="0"/>
        <v>0</v>
      </c>
      <c r="M13" s="166"/>
    </row>
    <row r="14" spans="1:13" ht="15.75" customHeight="1">
      <c r="A14" s="696" t="s">
        <v>164</v>
      </c>
      <c r="B14" s="697"/>
      <c r="C14" s="698"/>
      <c r="D14" s="75" t="s">
        <v>31</v>
      </c>
      <c r="E14" s="75" t="s">
        <v>161</v>
      </c>
      <c r="F14" s="75"/>
      <c r="G14" s="76">
        <v>4416.1</v>
      </c>
      <c r="H14" s="77">
        <v>4416.1</v>
      </c>
      <c r="I14" s="129"/>
      <c r="J14" s="76">
        <f>'2019dram'!H46</f>
        <v>1236.2</v>
      </c>
      <c r="K14" s="77">
        <f>'2019past'!R46</f>
        <v>1236.2</v>
      </c>
      <c r="L14" s="174">
        <f t="shared" si="0"/>
        <v>0</v>
      </c>
      <c r="M14" s="166"/>
    </row>
    <row r="15" spans="1:13" ht="15.75" customHeight="1">
      <c r="A15" s="682" t="s">
        <v>163</v>
      </c>
      <c r="B15" s="683"/>
      <c r="C15" s="684"/>
      <c r="D15" s="75"/>
      <c r="E15" s="75" t="s">
        <v>162</v>
      </c>
      <c r="F15" s="75"/>
      <c r="G15" s="76"/>
      <c r="H15" s="77"/>
      <c r="I15" s="129"/>
      <c r="J15" s="76">
        <f>'2019dram'!I46</f>
        <v>0</v>
      </c>
      <c r="K15" s="77">
        <f>'2019past'!S46</f>
        <v>0</v>
      </c>
      <c r="L15" s="174">
        <f t="shared" si="0"/>
        <v>0</v>
      </c>
      <c r="M15" s="166"/>
    </row>
    <row r="16" spans="1:13" ht="15.75" customHeight="1">
      <c r="A16" s="682" t="s">
        <v>63</v>
      </c>
      <c r="B16" s="683"/>
      <c r="C16" s="684"/>
      <c r="D16" s="75"/>
      <c r="E16" s="75" t="s">
        <v>8</v>
      </c>
      <c r="F16" s="75"/>
      <c r="G16" s="76">
        <v>331.2</v>
      </c>
      <c r="H16" s="77">
        <v>331.2</v>
      </c>
      <c r="I16" s="129"/>
      <c r="J16" s="76">
        <f>'2019dram'!J46</f>
        <v>779.6</v>
      </c>
      <c r="K16" s="77">
        <f>'2019past'!T46</f>
        <v>779.6</v>
      </c>
      <c r="L16" s="174">
        <f t="shared" si="0"/>
        <v>0</v>
      </c>
      <c r="M16" s="166"/>
    </row>
    <row r="17" spans="1:13" ht="15.75" customHeight="1">
      <c r="A17" s="682" t="s">
        <v>64</v>
      </c>
      <c r="B17" s="683"/>
      <c r="C17" s="684"/>
      <c r="D17" s="75"/>
      <c r="E17" s="75" t="s">
        <v>9</v>
      </c>
      <c r="F17" s="75"/>
      <c r="G17" s="76">
        <v>2811.1</v>
      </c>
      <c r="H17" s="77">
        <v>2811.1</v>
      </c>
      <c r="I17" s="129"/>
      <c r="J17" s="76">
        <f>'2019dram'!K46</f>
        <v>245</v>
      </c>
      <c r="K17" s="77">
        <f>'2019past'!U46</f>
        <v>245</v>
      </c>
      <c r="L17" s="174">
        <f t="shared" si="0"/>
        <v>0</v>
      </c>
      <c r="M17" s="166"/>
    </row>
    <row r="18" spans="1:13" ht="15.75" customHeight="1">
      <c r="A18" s="696" t="s">
        <v>38</v>
      </c>
      <c r="B18" s="697"/>
      <c r="C18" s="698"/>
      <c r="D18" s="75" t="s">
        <v>39</v>
      </c>
      <c r="E18" s="75" t="s">
        <v>10</v>
      </c>
      <c r="F18" s="75"/>
      <c r="G18" s="76">
        <v>3000</v>
      </c>
      <c r="H18" s="77">
        <v>3400</v>
      </c>
      <c r="I18" s="129"/>
      <c r="J18" s="76">
        <f>'2019dram'!L46</f>
        <v>846.8</v>
      </c>
      <c r="K18" s="77">
        <f>'2019past'!V46</f>
        <v>846.8</v>
      </c>
      <c r="L18" s="174">
        <f t="shared" si="0"/>
        <v>0</v>
      </c>
      <c r="M18" s="166"/>
    </row>
    <row r="19" spans="1:13" ht="15.75" customHeight="1">
      <c r="A19" s="696" t="s">
        <v>154</v>
      </c>
      <c r="B19" s="697"/>
      <c r="C19" s="698"/>
      <c r="D19" s="75" t="s">
        <v>40</v>
      </c>
      <c r="E19" s="75" t="s">
        <v>11</v>
      </c>
      <c r="F19" s="75"/>
      <c r="G19" s="76">
        <v>10384.7</v>
      </c>
      <c r="H19" s="77">
        <v>10384.7</v>
      </c>
      <c r="I19" s="129"/>
      <c r="J19" s="76">
        <f>'2019dram'!M46</f>
        <v>3656.1</v>
      </c>
      <c r="K19" s="77">
        <f>'2019past'!W46</f>
        <v>3656.1</v>
      </c>
      <c r="L19" s="174">
        <f t="shared" si="0"/>
        <v>0</v>
      </c>
      <c r="M19" s="166"/>
    </row>
    <row r="20" spans="1:13" ht="15.75" customHeight="1">
      <c r="A20" s="682" t="s">
        <v>65</v>
      </c>
      <c r="B20" s="683"/>
      <c r="C20" s="684"/>
      <c r="D20" s="75"/>
      <c r="E20" s="75" t="s">
        <v>12</v>
      </c>
      <c r="F20" s="75"/>
      <c r="G20" s="76">
        <v>5663.8</v>
      </c>
      <c r="H20" s="77">
        <v>5663.8</v>
      </c>
      <c r="I20" s="129"/>
      <c r="J20" s="76">
        <f>'2019dram'!N46</f>
        <v>4121.599999999999</v>
      </c>
      <c r="K20" s="77">
        <f>'2019past'!X46</f>
        <v>4121.599999999999</v>
      </c>
      <c r="L20" s="174">
        <f t="shared" si="0"/>
        <v>0</v>
      </c>
      <c r="M20" s="166"/>
    </row>
    <row r="21" spans="1:13" ht="15.75" customHeight="1">
      <c r="A21" s="682" t="s">
        <v>66</v>
      </c>
      <c r="B21" s="683"/>
      <c r="C21" s="684"/>
      <c r="D21" s="75"/>
      <c r="E21" s="75" t="s">
        <v>13</v>
      </c>
      <c r="F21" s="75"/>
      <c r="G21" s="76">
        <v>1633.3</v>
      </c>
      <c r="H21" s="77">
        <v>1633.3</v>
      </c>
      <c r="I21" s="129">
        <f>'2019past'!F46</f>
        <v>-711.9</v>
      </c>
      <c r="J21" s="76">
        <f>'2019dram'!O46</f>
        <v>13918.3</v>
      </c>
      <c r="K21" s="77">
        <f>'2019past'!Y46</f>
        <v>13206.4</v>
      </c>
      <c r="L21" s="174">
        <f t="shared" si="0"/>
        <v>3.410605131648481E-13</v>
      </c>
      <c r="M21" s="166"/>
    </row>
    <row r="22" spans="1:13" ht="15.75" customHeight="1">
      <c r="A22" s="682" t="s">
        <v>67</v>
      </c>
      <c r="B22" s="683"/>
      <c r="C22" s="684"/>
      <c r="D22" s="75"/>
      <c r="E22" s="75" t="s">
        <v>14</v>
      </c>
      <c r="F22" s="75"/>
      <c r="G22" s="76">
        <v>250</v>
      </c>
      <c r="H22" s="77">
        <v>250</v>
      </c>
      <c r="I22" s="129"/>
      <c r="J22" s="76">
        <f>'2019dram'!P46</f>
        <v>1660</v>
      </c>
      <c r="K22" s="77">
        <f>'2019past'!Z46</f>
        <v>1660</v>
      </c>
      <c r="L22" s="174">
        <f t="shared" si="0"/>
        <v>0</v>
      </c>
      <c r="M22" s="166"/>
    </row>
    <row r="23" spans="1:13" ht="15.75" customHeight="1">
      <c r="A23" s="693" t="s">
        <v>28</v>
      </c>
      <c r="B23" s="694"/>
      <c r="C23" s="695"/>
      <c r="D23" s="75" t="s">
        <v>29</v>
      </c>
      <c r="E23" s="75" t="s">
        <v>15</v>
      </c>
      <c r="F23" s="75"/>
      <c r="G23" s="76">
        <v>3950.3</v>
      </c>
      <c r="H23" s="77">
        <v>3950.3</v>
      </c>
      <c r="I23" s="129"/>
      <c r="J23" s="76">
        <f>'2019dram'!Q46</f>
        <v>4055.8</v>
      </c>
      <c r="K23" s="77">
        <f>'2019past'!AA46</f>
        <v>4055.8</v>
      </c>
      <c r="L23" s="174">
        <f t="shared" si="0"/>
        <v>0</v>
      </c>
      <c r="M23" s="166"/>
    </row>
    <row r="24" spans="1:13" ht="15.75" customHeight="1">
      <c r="A24" s="679" t="s">
        <v>80</v>
      </c>
      <c r="B24" s="680"/>
      <c r="C24" s="681"/>
      <c r="D24" s="75"/>
      <c r="E24" s="75" t="s">
        <v>79</v>
      </c>
      <c r="F24" s="75"/>
      <c r="G24" s="76"/>
      <c r="H24" s="77"/>
      <c r="I24" s="129"/>
      <c r="J24" s="76">
        <f>'2019dram'!R46</f>
        <v>300</v>
      </c>
      <c r="K24" s="77">
        <f>'2019past'!AB46</f>
        <v>300</v>
      </c>
      <c r="L24" s="174">
        <f t="shared" si="0"/>
        <v>0</v>
      </c>
      <c r="M24" s="166"/>
    </row>
    <row r="25" spans="1:13" ht="15.75" customHeight="1">
      <c r="A25" s="696" t="s">
        <v>68</v>
      </c>
      <c r="B25" s="697"/>
      <c r="C25" s="698"/>
      <c r="D25" s="75" t="s">
        <v>32</v>
      </c>
      <c r="E25" s="75" t="s">
        <v>51</v>
      </c>
      <c r="F25" s="75"/>
      <c r="G25" s="76">
        <v>24681.2</v>
      </c>
      <c r="H25" s="77">
        <v>24681.2</v>
      </c>
      <c r="I25" s="129"/>
      <c r="J25" s="76">
        <f>'2019dram'!S46</f>
        <v>41741.9</v>
      </c>
      <c r="K25" s="77">
        <f>'2019past'!AC46</f>
        <v>41741.9</v>
      </c>
      <c r="L25" s="174">
        <f t="shared" si="0"/>
        <v>0</v>
      </c>
      <c r="M25" s="166"/>
    </row>
    <row r="26" spans="1:13" ht="15.75" customHeight="1">
      <c r="A26" s="682" t="s">
        <v>69</v>
      </c>
      <c r="B26" s="683"/>
      <c r="C26" s="684"/>
      <c r="D26" s="75"/>
      <c r="E26" s="75" t="s">
        <v>52</v>
      </c>
      <c r="F26" s="75"/>
      <c r="G26" s="76">
        <v>43982.3</v>
      </c>
      <c r="H26" s="77">
        <v>43982.3</v>
      </c>
      <c r="I26" s="129"/>
      <c r="J26" s="76">
        <f>'2019dram'!T46</f>
        <v>3095.3</v>
      </c>
      <c r="K26" s="77">
        <f>'2019past'!AD46</f>
        <v>3095.3</v>
      </c>
      <c r="L26" s="174">
        <f t="shared" si="0"/>
        <v>0</v>
      </c>
      <c r="M26" s="166"/>
    </row>
    <row r="27" spans="1:13" ht="15.75" customHeight="1">
      <c r="A27" s="682" t="s">
        <v>75</v>
      </c>
      <c r="B27" s="683"/>
      <c r="C27" s="684"/>
      <c r="D27" s="75"/>
      <c r="E27" s="75" t="s">
        <v>2</v>
      </c>
      <c r="F27" s="75"/>
      <c r="G27" s="76"/>
      <c r="H27" s="77"/>
      <c r="I27" s="129"/>
      <c r="J27" s="76">
        <f>'2019dram'!U46</f>
        <v>-125</v>
      </c>
      <c r="K27" s="77">
        <f>'2019past'!AE46</f>
        <v>-125</v>
      </c>
      <c r="L27" s="174">
        <f t="shared" si="0"/>
        <v>0</v>
      </c>
      <c r="M27" s="166"/>
    </row>
    <row r="28" spans="1:13" ht="15.75" customHeight="1">
      <c r="A28" s="682" t="s">
        <v>71</v>
      </c>
      <c r="B28" s="683"/>
      <c r="C28" s="684"/>
      <c r="D28" s="75"/>
      <c r="E28" s="75" t="s">
        <v>53</v>
      </c>
      <c r="F28" s="75"/>
      <c r="G28" s="76">
        <v>10000</v>
      </c>
      <c r="H28" s="77">
        <v>10000</v>
      </c>
      <c r="I28" s="129">
        <f>'2019past'!G46</f>
        <v>1993</v>
      </c>
      <c r="J28" s="76">
        <f>'2019dram'!V46</f>
        <v>519532.29999999993</v>
      </c>
      <c r="K28" s="77">
        <f>'2019past'!AF46</f>
        <v>519844.3</v>
      </c>
      <c r="L28" s="174">
        <f t="shared" si="0"/>
        <v>-1680.9999999999418</v>
      </c>
      <c r="M28" s="166"/>
    </row>
    <row r="29" spans="1:13" ht="15.75" customHeight="1">
      <c r="A29" s="682" t="s">
        <v>106</v>
      </c>
      <c r="B29" s="683"/>
      <c r="C29" s="684"/>
      <c r="D29" s="75"/>
      <c r="E29" s="75" t="s">
        <v>81</v>
      </c>
      <c r="F29" s="75"/>
      <c r="G29" s="76">
        <v>45571.3</v>
      </c>
      <c r="H29" s="77">
        <v>45171.3</v>
      </c>
      <c r="I29" s="129"/>
      <c r="J29" s="76">
        <f>'2019dram'!W46</f>
        <v>3967.4</v>
      </c>
      <c r="K29" s="77">
        <f>'2019past'!AG46</f>
        <v>3967.4</v>
      </c>
      <c r="L29" s="174">
        <f t="shared" si="0"/>
        <v>0</v>
      </c>
      <c r="M29" s="166"/>
    </row>
    <row r="30" spans="1:13" ht="15.75" customHeight="1">
      <c r="A30" s="682" t="s">
        <v>72</v>
      </c>
      <c r="B30" s="683"/>
      <c r="C30" s="684"/>
      <c r="D30" s="75"/>
      <c r="E30" s="75" t="s">
        <v>54</v>
      </c>
      <c r="F30" s="75"/>
      <c r="G30" s="76">
        <v>13290.8</v>
      </c>
      <c r="H30" s="77">
        <v>13290.8</v>
      </c>
      <c r="I30" s="129"/>
      <c r="J30" s="76">
        <f>'2019dram'!X46</f>
        <v>8395.6</v>
      </c>
      <c r="K30" s="77">
        <f>'2019past'!AH46</f>
        <v>8395.6</v>
      </c>
      <c r="L30" s="174">
        <f t="shared" si="0"/>
        <v>0</v>
      </c>
      <c r="M30" s="166"/>
    </row>
    <row r="31" spans="1:13" ht="15.75" customHeight="1">
      <c r="A31" s="682" t="s">
        <v>155</v>
      </c>
      <c r="B31" s="683"/>
      <c r="C31" s="684"/>
      <c r="D31" s="75"/>
      <c r="E31" s="75" t="s">
        <v>55</v>
      </c>
      <c r="F31" s="75"/>
      <c r="G31" s="76"/>
      <c r="H31" s="77"/>
      <c r="I31" s="129"/>
      <c r="J31" s="76">
        <f>'2019dram'!Y46</f>
        <v>2110</v>
      </c>
      <c r="K31" s="77">
        <f>'2019past'!AI46</f>
        <v>2110</v>
      </c>
      <c r="L31" s="174">
        <f t="shared" si="0"/>
        <v>0</v>
      </c>
      <c r="M31" s="166"/>
    </row>
    <row r="32" spans="1:13" ht="15.75" customHeight="1">
      <c r="A32" s="696" t="s">
        <v>36</v>
      </c>
      <c r="B32" s="697"/>
      <c r="C32" s="698"/>
      <c r="D32" s="75" t="s">
        <v>37</v>
      </c>
      <c r="E32" s="75" t="s">
        <v>60</v>
      </c>
      <c r="F32" s="75"/>
      <c r="G32" s="76">
        <v>500</v>
      </c>
      <c r="H32" s="77">
        <v>500</v>
      </c>
      <c r="I32" s="129">
        <f>'2019past'!H46</f>
        <v>19.5</v>
      </c>
      <c r="J32" s="76">
        <f>'2019dram'!Z46</f>
        <v>4923.7</v>
      </c>
      <c r="K32" s="77">
        <f>'2019past'!AJ46</f>
        <v>4943.2</v>
      </c>
      <c r="L32" s="174">
        <f t="shared" si="0"/>
        <v>0</v>
      </c>
      <c r="M32" s="166"/>
    </row>
    <row r="33" spans="1:13" ht="19.5" customHeight="1" thickBot="1">
      <c r="A33" s="728" t="s">
        <v>41</v>
      </c>
      <c r="B33" s="729"/>
      <c r="C33" s="730"/>
      <c r="D33" s="81" t="s">
        <v>42</v>
      </c>
      <c r="E33" s="176">
        <v>4891</v>
      </c>
      <c r="F33" s="106"/>
      <c r="G33" s="106"/>
      <c r="H33" s="106"/>
      <c r="I33" s="101"/>
      <c r="J33" s="87">
        <f>'2019dram'!AA46</f>
        <v>0</v>
      </c>
      <c r="K33" s="105">
        <f>'2019past'!AK46</f>
        <v>0</v>
      </c>
      <c r="L33" s="174">
        <f t="shared" si="0"/>
        <v>0</v>
      </c>
      <c r="M33" s="167"/>
    </row>
    <row r="34" spans="1:13" s="111" customFormat="1" ht="18" customHeight="1" thickBot="1">
      <c r="A34" s="690" t="s">
        <v>43</v>
      </c>
      <c r="B34" s="691"/>
      <c r="C34" s="692"/>
      <c r="D34" s="121" t="s">
        <v>16</v>
      </c>
      <c r="E34" s="121"/>
      <c r="F34" s="121"/>
      <c r="G34" s="122">
        <f>SUM(G35:G44)</f>
        <v>49696.399999999994</v>
      </c>
      <c r="H34" s="123">
        <f>SUM(H35:H44)</f>
        <v>49696.399999999994</v>
      </c>
      <c r="I34" s="123">
        <f>SUM(I35:I41)</f>
        <v>-432.5</v>
      </c>
      <c r="J34" s="122">
        <f>SUM(J35:J41)</f>
        <v>82807.4</v>
      </c>
      <c r="K34" s="124">
        <f>SUM(K35:K41)</f>
        <v>85326</v>
      </c>
      <c r="L34" s="122">
        <f>SUM(L35:L41)</f>
        <v>2951.0999999999967</v>
      </c>
      <c r="M34" s="168"/>
    </row>
    <row r="35" spans="1:13" ht="17.25" customHeight="1">
      <c r="A35" s="682" t="s">
        <v>159</v>
      </c>
      <c r="B35" s="683"/>
      <c r="C35" s="684"/>
      <c r="D35" s="75"/>
      <c r="E35" s="75" t="s">
        <v>158</v>
      </c>
      <c r="F35" s="75"/>
      <c r="G35" s="76">
        <v>82596.4</v>
      </c>
      <c r="H35" s="77">
        <v>82596.4</v>
      </c>
      <c r="I35" s="129">
        <f>'2019past'!I45</f>
        <v>0</v>
      </c>
      <c r="J35" s="76">
        <f>'2019dram'!AC46</f>
        <v>2800</v>
      </c>
      <c r="K35" s="77">
        <f>'2019past'!AM46</f>
        <v>2800</v>
      </c>
      <c r="L35" s="174">
        <f t="shared" si="0"/>
        <v>0</v>
      </c>
      <c r="M35" s="169"/>
    </row>
    <row r="36" spans="1:13" ht="17.25" customHeight="1">
      <c r="A36" s="682" t="s">
        <v>166</v>
      </c>
      <c r="B36" s="683"/>
      <c r="C36" s="684"/>
      <c r="D36" s="75" t="s">
        <v>46</v>
      </c>
      <c r="E36" s="75" t="s">
        <v>82</v>
      </c>
      <c r="F36" s="75"/>
      <c r="G36" s="76">
        <v>5100</v>
      </c>
      <c r="H36" s="77">
        <v>5100</v>
      </c>
      <c r="I36" s="129">
        <f>'2019past'!I46</f>
        <v>-173.6</v>
      </c>
      <c r="J36" s="76">
        <f>'2019dram'!AD46</f>
        <v>8724.2</v>
      </c>
      <c r="K36" s="77">
        <f>'2019past'!AN46</f>
        <v>9141.1</v>
      </c>
      <c r="L36" s="174">
        <f t="shared" si="0"/>
        <v>590.4999999999997</v>
      </c>
      <c r="M36" s="170"/>
    </row>
    <row r="37" spans="1:13" ht="17.25" customHeight="1">
      <c r="A37" s="682" t="s">
        <v>160</v>
      </c>
      <c r="B37" s="683"/>
      <c r="C37" s="684"/>
      <c r="D37" s="75"/>
      <c r="E37" s="75" t="s">
        <v>56</v>
      </c>
      <c r="F37" s="75"/>
      <c r="G37" s="76"/>
      <c r="H37" s="77"/>
      <c r="I37" s="129">
        <f>'2019past'!J46</f>
        <v>-258.9</v>
      </c>
      <c r="J37" s="76">
        <f>'2019dram'!AE46</f>
        <v>52247.5</v>
      </c>
      <c r="K37" s="77">
        <f>'2019past'!AO46</f>
        <v>54349.2</v>
      </c>
      <c r="L37" s="174">
        <f t="shared" si="0"/>
        <v>2360.599999999997</v>
      </c>
      <c r="M37" s="170"/>
    </row>
    <row r="38" spans="1:13" ht="17.25" customHeight="1">
      <c r="A38" s="78" t="s">
        <v>108</v>
      </c>
      <c r="B38" s="79"/>
      <c r="C38" s="79"/>
      <c r="D38" s="84"/>
      <c r="E38" s="75" t="s">
        <v>57</v>
      </c>
      <c r="F38" s="75"/>
      <c r="G38" s="76"/>
      <c r="H38" s="77"/>
      <c r="I38" s="129"/>
      <c r="J38" s="76">
        <f>'2019dram'!AF46</f>
        <v>4300</v>
      </c>
      <c r="K38" s="77">
        <f>'2019past'!AP46</f>
        <v>4300</v>
      </c>
      <c r="L38" s="174">
        <f t="shared" si="0"/>
        <v>0</v>
      </c>
      <c r="M38" s="166"/>
    </row>
    <row r="39" spans="1:13" ht="17.25" customHeight="1">
      <c r="A39" s="78" t="s">
        <v>88</v>
      </c>
      <c r="B39" s="79"/>
      <c r="C39" s="79"/>
      <c r="D39" s="80"/>
      <c r="E39" s="75" t="s">
        <v>50</v>
      </c>
      <c r="F39" s="75"/>
      <c r="G39" s="76"/>
      <c r="H39" s="77"/>
      <c r="I39" s="129"/>
      <c r="J39" s="76">
        <f>'2019dram'!AG46</f>
        <v>238</v>
      </c>
      <c r="K39" s="77">
        <f>'2019past'!AQ46</f>
        <v>238</v>
      </c>
      <c r="L39" s="174">
        <f t="shared" si="0"/>
        <v>0</v>
      </c>
      <c r="M39" s="166"/>
    </row>
    <row r="40" spans="1:13" ht="17.25" customHeight="1">
      <c r="A40" s="682" t="s">
        <v>86</v>
      </c>
      <c r="B40" s="683"/>
      <c r="C40" s="684"/>
      <c r="D40" s="85"/>
      <c r="E40" s="86" t="s">
        <v>58</v>
      </c>
      <c r="F40" s="75"/>
      <c r="G40" s="76"/>
      <c r="H40" s="77"/>
      <c r="I40" s="129"/>
      <c r="J40" s="76">
        <f>'2019dram'!AH46</f>
        <v>12863.7</v>
      </c>
      <c r="K40" s="77">
        <f>'2019past'!AR46</f>
        <v>12863.7</v>
      </c>
      <c r="L40" s="174">
        <f t="shared" si="0"/>
        <v>0</v>
      </c>
      <c r="M40" s="166"/>
    </row>
    <row r="41" spans="1:13" ht="17.25" customHeight="1" thickBot="1">
      <c r="A41" s="725" t="s">
        <v>44</v>
      </c>
      <c r="B41" s="726"/>
      <c r="C41" s="727"/>
      <c r="D41" s="94" t="s">
        <v>45</v>
      </c>
      <c r="E41" s="94" t="s">
        <v>59</v>
      </c>
      <c r="F41" s="95"/>
      <c r="G41" s="96">
        <v>-38000</v>
      </c>
      <c r="H41" s="97">
        <v>-38000</v>
      </c>
      <c r="I41" s="130"/>
      <c r="J41" s="96">
        <f>'2019dram'!AJ46</f>
        <v>1634</v>
      </c>
      <c r="K41" s="97">
        <f>'2019past'!AT46</f>
        <v>1634</v>
      </c>
      <c r="L41" s="174">
        <f t="shared" si="0"/>
        <v>0</v>
      </c>
      <c r="M41" s="167"/>
    </row>
    <row r="42" spans="1:13" s="111" customFormat="1" ht="23.25" customHeight="1" thickBot="1">
      <c r="A42" s="722" t="s">
        <v>104</v>
      </c>
      <c r="B42" s="723"/>
      <c r="C42" s="724"/>
      <c r="D42" s="125"/>
      <c r="E42" s="126"/>
      <c r="F42" s="121"/>
      <c r="G42" s="127"/>
      <c r="H42" s="128"/>
      <c r="I42" s="123">
        <f>I43++I44</f>
        <v>0</v>
      </c>
      <c r="J42" s="122">
        <f>J43++J44</f>
        <v>-6104.700000000001</v>
      </c>
      <c r="K42" s="124">
        <f>K43++K44</f>
        <v>-6104.700000000001</v>
      </c>
      <c r="L42" s="122">
        <f>L43++L44</f>
        <v>0</v>
      </c>
      <c r="M42" s="168"/>
    </row>
    <row r="43" spans="1:13" ht="19.5" customHeight="1" thickBot="1">
      <c r="A43" s="687" t="s">
        <v>176</v>
      </c>
      <c r="B43" s="688"/>
      <c r="C43" s="689"/>
      <c r="D43" s="98"/>
      <c r="E43" s="99" t="s">
        <v>249</v>
      </c>
      <c r="F43" s="74"/>
      <c r="G43" s="82"/>
      <c r="H43" s="83"/>
      <c r="I43" s="131"/>
      <c r="J43" s="82">
        <f>'2019dram'!AM46</f>
        <v>-5029.3</v>
      </c>
      <c r="K43" s="83">
        <f>'2019dram'!AM20</f>
        <v>-5029.3</v>
      </c>
      <c r="L43" s="82">
        <f>SUM(K43,-J43)</f>
        <v>0</v>
      </c>
      <c r="M43" s="574"/>
    </row>
    <row r="44" spans="1:13" ht="18" customHeight="1" thickBot="1">
      <c r="A44" s="720" t="s">
        <v>177</v>
      </c>
      <c r="B44" s="721"/>
      <c r="C44" s="721"/>
      <c r="D44" s="107"/>
      <c r="E44" s="107" t="s">
        <v>105</v>
      </c>
      <c r="F44" s="107"/>
      <c r="G44" s="108"/>
      <c r="H44" s="109"/>
      <c r="I44" s="102"/>
      <c r="J44" s="102">
        <f>'2019dram'!AN46</f>
        <v>-1075.4</v>
      </c>
      <c r="K44" s="575">
        <f>'2019dram'!AN20</f>
        <v>-1075.4</v>
      </c>
      <c r="L44" s="175">
        <f>SUM(K44,-J44)</f>
        <v>0</v>
      </c>
      <c r="M44" s="171"/>
    </row>
    <row r="45" spans="1:13" s="743" customFormat="1" ht="19.5" customHeight="1">
      <c r="A45" s="740" t="s">
        <v>16</v>
      </c>
      <c r="B45" s="741" t="s">
        <v>185</v>
      </c>
      <c r="C45" s="741"/>
      <c r="D45" s="741"/>
      <c r="E45" s="741"/>
      <c r="F45" s="740"/>
      <c r="G45" s="740"/>
      <c r="H45" s="740"/>
      <c r="I45" s="740"/>
      <c r="J45" s="742" t="s">
        <v>237</v>
      </c>
      <c r="K45" s="742"/>
      <c r="L45" s="740"/>
      <c r="M45" s="740"/>
    </row>
    <row r="46" spans="1:11" s="751" customFormat="1" ht="19.5" customHeight="1">
      <c r="A46" s="748" t="s">
        <v>110</v>
      </c>
      <c r="B46" s="748"/>
      <c r="C46" s="748"/>
      <c r="D46" s="748"/>
      <c r="E46" s="748"/>
      <c r="F46" s="748"/>
      <c r="G46" s="748"/>
      <c r="H46" s="749" t="s">
        <v>49</v>
      </c>
      <c r="I46" s="749" t="s">
        <v>87</v>
      </c>
      <c r="J46" s="750" t="s">
        <v>111</v>
      </c>
      <c r="K46" s="750"/>
    </row>
    <row r="47" spans="1:11" s="751" customFormat="1" ht="19.5" customHeight="1">
      <c r="A47" s="748" t="s">
        <v>180</v>
      </c>
      <c r="B47" s="748"/>
      <c r="C47" s="748"/>
      <c r="D47" s="748"/>
      <c r="E47" s="748"/>
      <c r="F47" s="748"/>
      <c r="G47" s="748"/>
      <c r="H47" s="749" t="s">
        <v>49</v>
      </c>
      <c r="I47" s="749" t="s">
        <v>87</v>
      </c>
      <c r="J47" s="750" t="s">
        <v>181</v>
      </c>
      <c r="K47" s="750"/>
    </row>
    <row r="48" s="573" customFormat="1" ht="12.75" hidden="1"/>
    <row r="49" s="573" customFormat="1" ht="12.75" hidden="1"/>
    <row r="50" s="573" customFormat="1" ht="12.75" hidden="1"/>
    <row r="51" s="573" customFormat="1" ht="12.75" hidden="1"/>
    <row r="52" s="573" customFormat="1" ht="12.75" hidden="1"/>
    <row r="53" s="573" customFormat="1" ht="12.75" hidden="1"/>
    <row r="54" s="573" customFormat="1" ht="12.75" hidden="1"/>
    <row r="55" s="573" customFormat="1" ht="12.75" hidden="1"/>
    <row r="56" s="573" customFormat="1" ht="12.75"/>
    <row r="57" s="573" customFormat="1" ht="12.75"/>
    <row r="61" ht="12.75">
      <c r="E61" s="68" t="s">
        <v>184</v>
      </c>
    </row>
  </sheetData>
  <sheetProtection/>
  <mergeCells count="53">
    <mergeCell ref="A2:M2"/>
    <mergeCell ref="A11:C11"/>
    <mergeCell ref="A10:C10"/>
    <mergeCell ref="F3:F4"/>
    <mergeCell ref="A14:C14"/>
    <mergeCell ref="A7:C7"/>
    <mergeCell ref="A12:C12"/>
    <mergeCell ref="A8:C8"/>
    <mergeCell ref="A25:C25"/>
    <mergeCell ref="A44:C44"/>
    <mergeCell ref="A42:C42"/>
    <mergeCell ref="A41:C41"/>
    <mergeCell ref="A26:C26"/>
    <mergeCell ref="A29:C29"/>
    <mergeCell ref="A33:C33"/>
    <mergeCell ref="A32:C32"/>
    <mergeCell ref="A1:L1"/>
    <mergeCell ref="A3:C4"/>
    <mergeCell ref="D3:D4"/>
    <mergeCell ref="G3:G4"/>
    <mergeCell ref="H3:H4"/>
    <mergeCell ref="A6:C6"/>
    <mergeCell ref="J3:K3"/>
    <mergeCell ref="I3:I4"/>
    <mergeCell ref="L3:L4"/>
    <mergeCell ref="A5:C5"/>
    <mergeCell ref="A17:C17"/>
    <mergeCell ref="A9:C9"/>
    <mergeCell ref="A23:C23"/>
    <mergeCell ref="A20:C20"/>
    <mergeCell ref="A13:C13"/>
    <mergeCell ref="A18:C18"/>
    <mergeCell ref="A16:C16"/>
    <mergeCell ref="A19:C19"/>
    <mergeCell ref="A22:C22"/>
    <mergeCell ref="A21:C21"/>
    <mergeCell ref="J46:K46"/>
    <mergeCell ref="A30:C30"/>
    <mergeCell ref="A43:C43"/>
    <mergeCell ref="A36:C36"/>
    <mergeCell ref="A34:C34"/>
    <mergeCell ref="A27:C27"/>
    <mergeCell ref="A35:C35"/>
    <mergeCell ref="A24:C24"/>
    <mergeCell ref="J47:K47"/>
    <mergeCell ref="B45:E45"/>
    <mergeCell ref="J45:K45"/>
    <mergeCell ref="A28:C28"/>
    <mergeCell ref="M3:M4"/>
    <mergeCell ref="A31:C31"/>
    <mergeCell ref="A37:C37"/>
    <mergeCell ref="A40:C40"/>
    <mergeCell ref="A15:C15"/>
  </mergeCells>
  <printOptions/>
  <pageMargins left="0.25" right="0.25" top="0.75" bottom="0.75" header="0.3" footer="0.3"/>
  <pageSetup horizontalDpi="600" verticalDpi="600" orientation="portrait" scale="85" r:id="rId1"/>
  <rowBreaks count="1" manualBreakCount="1">
    <brk id="47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ARMAVIRI QAXAQAPETARAN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 &amp; ARNAK</dc:creator>
  <cp:keywords/>
  <dc:description/>
  <cp:lastModifiedBy>ANNA</cp:lastModifiedBy>
  <cp:lastPrinted>2020-01-31T06:25:22Z</cp:lastPrinted>
  <dcterms:created xsi:type="dcterms:W3CDTF">2008-01-11T07:05:18Z</dcterms:created>
  <dcterms:modified xsi:type="dcterms:W3CDTF">2020-01-31T06:25:31Z</dcterms:modified>
  <cp:category/>
  <cp:version/>
  <cp:contentType/>
  <cp:contentStatus/>
</cp:coreProperties>
</file>