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245" windowWidth="15600" windowHeight="1170" tabRatio="611" activeTab="5"/>
  </bookViews>
  <sheets>
    <sheet name="hoaki dram18" sheetId="1" r:id="rId1"/>
    <sheet name="hoaki past18" sheetId="2" r:id="rId2"/>
    <sheet name="HOAK,AMPOP" sheetId="3" r:id="rId3"/>
    <sheet name="2018dram" sheetId="4" r:id="rId4"/>
    <sheet name="2018past" sheetId="5" r:id="rId5"/>
    <sheet name="AMPOP" sheetId="6" r:id="rId6"/>
  </sheets>
  <definedNames>
    <definedName name="_xlnm.Print_Area" localSheetId="3">'2018dram'!$A$1:$AS$46</definedName>
    <definedName name="_xlnm.Print_Area" localSheetId="4">'2018past'!$A$1:$CH$46</definedName>
    <definedName name="_xlnm.Print_Area" localSheetId="5">'AMPOP'!$A$1:$M$46</definedName>
    <definedName name="_xlnm.Print_Area" localSheetId="2">'HOAK,AMPOP'!$A$1:$M$36</definedName>
  </definedNames>
  <calcPr fullCalcOnLoad="1"/>
</workbook>
</file>

<file path=xl/sharedStrings.xml><?xml version="1.0" encoding="utf-8"?>
<sst xmlns="http://schemas.openxmlformats.org/spreadsheetml/2006/main" count="438" uniqueCount="214">
  <si>
    <t>Ð³Ù³ÛÝ.³ÛÉ Í³é³Û.1-3-3</t>
  </si>
  <si>
    <t>Ð³Ù³ÛÝ.³ÛÉ Í³é³Û.1-6-1</t>
  </si>
  <si>
    <t>4269</t>
  </si>
  <si>
    <t>4111</t>
  </si>
  <si>
    <t>4212</t>
  </si>
  <si>
    <t>4213</t>
  </si>
  <si>
    <t>4214</t>
  </si>
  <si>
    <t>4221-4222</t>
  </si>
  <si>
    <t>4232</t>
  </si>
  <si>
    <t>4234</t>
  </si>
  <si>
    <t>4237</t>
  </si>
  <si>
    <t>4239</t>
  </si>
  <si>
    <t>4241</t>
  </si>
  <si>
    <t>4251</t>
  </si>
  <si>
    <t>4252</t>
  </si>
  <si>
    <t xml:space="preserve"> 4261</t>
  </si>
  <si>
    <t xml:space="preserve"> </t>
  </si>
  <si>
    <t>0010</t>
  </si>
  <si>
    <t>1500</t>
  </si>
  <si>
    <t>ÀÝ¹.í³ñã³Ï³Ý µÛáõç»</t>
  </si>
  <si>
    <t>ÀÝ¹.üáÝ¹³ÛÇÝ µÛáõç»</t>
  </si>
  <si>
    <t>ÀÜ¸²ØºÜÀ</t>
  </si>
  <si>
    <t>ÀÝ¹³Ù»ÝÁ</t>
  </si>
  <si>
    <t>²ñí»ëïÇ ¹åñáó</t>
  </si>
  <si>
    <t>¼µáë³Û·Ç</t>
  </si>
  <si>
    <t>¶ñ³¹³ñ³Ý</t>
  </si>
  <si>
    <t>î º Ô º Î ² Ü ø</t>
  </si>
  <si>
    <t>²Ýí³ÝáõÙÁ</t>
  </si>
  <si>
    <t>Ñá¹í³Í N</t>
  </si>
  <si>
    <t>Ð³ëï³ïí³Í ¿ µÛáõç»áí</t>
  </si>
  <si>
    <t>ÀÝÃ³óÇÏ Í³Ëë»ñ</t>
  </si>
  <si>
    <t>²ßË³ï³í³ñÓ</t>
  </si>
  <si>
    <t>¶ñ³ë»ÝÛ.³åñ. ¨ ÝÛáõÃ»ñ</t>
  </si>
  <si>
    <t>2100</t>
  </si>
  <si>
    <t>·áñÍáõÕáõÙ ¨ Í³é. áõÕ¨áñ.</t>
  </si>
  <si>
    <t>2650-2700</t>
  </si>
  <si>
    <t>2800-2900</t>
  </si>
  <si>
    <t>Ï³åÇ Í³é³ÛáõÃÛáõÝ</t>
  </si>
  <si>
    <t>3000-3400</t>
  </si>
  <si>
    <t>3500-3550</t>
  </si>
  <si>
    <t xml:space="preserve">Ñ³ñÏ»ñ,ïáõñù»ñ ¨ ³ÛÉ </t>
  </si>
  <si>
    <t>4300</t>
  </si>
  <si>
    <t>Ý»ñÏ³Û³óáõóã³Ï³Ý Í³Ëë»ñ</t>
  </si>
  <si>
    <t>4970</t>
  </si>
  <si>
    <t>5600</t>
  </si>
  <si>
    <t>å³Ñáõëï³ÛÇÝ ýáÝ¹</t>
  </si>
  <si>
    <t>X</t>
  </si>
  <si>
    <t>Î³åÇï³É  Í³Ëë»ñ</t>
  </si>
  <si>
    <t>Ý³Ë³·Í³Ñ»ï³Ë. Í³Ëë»ñ</t>
  </si>
  <si>
    <t>6400</t>
  </si>
  <si>
    <t>6800</t>
  </si>
  <si>
    <t>ß³ËÙ³ïÇ ¹åñáó</t>
  </si>
  <si>
    <t xml:space="preserve">×ßïí³Í µÛáõç»      </t>
  </si>
  <si>
    <t>5122</t>
  </si>
  <si>
    <t>4264</t>
  </si>
  <si>
    <t>4267</t>
  </si>
  <si>
    <t>4511</t>
  </si>
  <si>
    <t>4729</t>
  </si>
  <si>
    <t>4819</t>
  </si>
  <si>
    <t>5113</t>
  </si>
  <si>
    <t>5121</t>
  </si>
  <si>
    <t>5129</t>
  </si>
  <si>
    <t>5134</t>
  </si>
  <si>
    <t>4823</t>
  </si>
  <si>
    <t>¾Ý»ñ·»ïÇÏ Í³é³ÛáõÃÛáõÝ</t>
  </si>
  <si>
    <t xml:space="preserve">ÎáÙáõÝ³É Í³é³ÛáõÃÛáõÝ </t>
  </si>
  <si>
    <t>Ñ³Ù³Ï³ñ·ã³ÛÇÝ  Í³é³ÛáõÃÛáõÝ</t>
  </si>
  <si>
    <t>ï»Õ»Ï³ïí³Ï³Ý Í³é³ÛáõÃÛáõÝ</t>
  </si>
  <si>
    <t>Ù³ëÝ³·Çï³Ï³Ý Í³é³ÛáõÃÛáõÝÝ»ñ</t>
  </si>
  <si>
    <t>ß»Ýù»ñÇ ÁÝÃ³óÇÏ Ýáñá·áõÙ ¨ å³Ñå.</t>
  </si>
  <si>
    <t>Ù»ù.ë³ñù.ÁÝÃ³óÇÏ Ýáñá·áõÙ</t>
  </si>
  <si>
    <t>ïñ³Ýëåáñï³ÛÇÝ ÝÛáõÃ»ñ</t>
  </si>
  <si>
    <t>Ï»Ýó³Õ³ÛÇÝ¨Ñ³Ýñ³ÛÇÝ ëÝÝ¹Ç ÝÛáõÃ»ñ</t>
  </si>
  <si>
    <t>³ÛÉ Ù»ù»Ý³Ý»ñ ¨ ë³ñù³íáñáõÙÝ»ñ</t>
  </si>
  <si>
    <t>ëáõµëÇ¹Ç³</t>
  </si>
  <si>
    <t>ëáóÇ³É³Ï³Ý û·ÝáõÃÛáõÝ</t>
  </si>
  <si>
    <t>å³ñ·¨³ïñáõÙ</t>
  </si>
  <si>
    <t>4112</t>
  </si>
  <si>
    <t>Ñ³ïáõÏ Ýå³ï³Ï.³ÛÉ ÝÛáõÃ»ñ</t>
  </si>
  <si>
    <t>³éáÕç³å³Ñ. ¨ É³µáñ. ÝÛáõÃ»ñ</t>
  </si>
  <si>
    <t>³å³Ñáí³·ñáõÃÛáõÝ</t>
  </si>
  <si>
    <t>4215</t>
  </si>
  <si>
    <t>4262</t>
  </si>
  <si>
    <t xml:space="preserve">¶ÛáõÕ³ïÝï»ë³Ï³Ý  ÝÛáõÃ»ñ   </t>
  </si>
  <si>
    <t>4637</t>
  </si>
  <si>
    <t>5112</t>
  </si>
  <si>
    <t>´³ñ»Ï³ñ·áõÙ ïÝûñ.6-6-1</t>
  </si>
  <si>
    <t>å»ï.ÏáÕÙ. å³ïíÇñ³Ïí³Í</t>
  </si>
  <si>
    <t>êáõµëÇ¹Ç³ Ñ³Ù³ÛÝùÇ µÛáõç»Çó</t>
  </si>
  <si>
    <t>æñ³Ù³ï³Ï³ñ³ñ</t>
  </si>
  <si>
    <t>ïñ³Ýëåáñï³ÛÇÝ  ë³ñù³íáñáõÙ</t>
  </si>
  <si>
    <t xml:space="preserve">  </t>
  </si>
  <si>
    <t>í³ñã³Ï³Ý  ë³ñù³íáñáõÙÝ»ñ</t>
  </si>
  <si>
    <t>3014.9</t>
  </si>
  <si>
    <t>54.6</t>
  </si>
  <si>
    <t>29.4</t>
  </si>
  <si>
    <t>¹»µիտորական պարտք Ñ³½.¹ñ³Ù01.01.09</t>
  </si>
  <si>
    <t>3098.9</t>
  </si>
  <si>
    <t>Ðá¹í³ÍÝ»ñ</t>
  </si>
  <si>
    <t>¹ñ³Ù³ñÏ Õ³ÛÇÝ Í³Ëë</t>
  </si>
  <si>
    <t>÷³ëï³óÇ         Í³Ëë</t>
  </si>
  <si>
    <t>4266</t>
  </si>
  <si>
    <t>ÁÙµß³Ù³ñïÇ ¹åñáó</t>
  </si>
  <si>
    <t>´³ñ»Ï³. ïÝûñ. çñ³Ù.6-3-1</t>
  </si>
  <si>
    <t>Ï³Ý³ã³å³ïáõÙ  5-6-1</t>
  </si>
  <si>
    <t>²Õµ³Ñ³ÝáõÙ   5-1-1</t>
  </si>
  <si>
    <t>Éáõë³íáñáõÃÛáõÝ  6-4-1</t>
  </si>
  <si>
    <t>Ö³Ý³å³ñÑ.տրանս  4-5,1</t>
  </si>
  <si>
    <t>Ընդամենը</t>
  </si>
  <si>
    <t>8111</t>
  </si>
  <si>
    <t>8411</t>
  </si>
  <si>
    <t>դրամաշնորհ</t>
  </si>
  <si>
    <t>Քաղաքապետարան.6-1-1</t>
  </si>
  <si>
    <t>տրանսպորտային սարքավորում.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</si>
  <si>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</si>
  <si>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Լուսավորություն</t>
  </si>
  <si>
    <t>Ընդամենը եկամուտներ</t>
  </si>
  <si>
    <t>այլ մուտքեր</t>
  </si>
  <si>
    <t>սուբսիդիա</t>
  </si>
  <si>
    <t>ÀÝ¹³Ù»ÝÁ  արտադպ.</t>
  </si>
  <si>
    <t>ÀÝ¹³Ù»ÝÁ  մանկ</t>
  </si>
  <si>
    <t xml:space="preserve">4212  </t>
  </si>
  <si>
    <t>Ընդամենը  դտ պարտքեր ծախս. Գծով</t>
  </si>
  <si>
    <t>սուբսիդիա դտ պարտքեր եկ. Գծով</t>
  </si>
  <si>
    <t>հաշվետու ժամանակաշրջանի ծախսեր</t>
  </si>
  <si>
    <t>ÀÝ¹.ընթացիկ պարտք</t>
  </si>
  <si>
    <t>ÀÝ¹.կապիտալ պարտք</t>
  </si>
  <si>
    <t>ÀÜ¸²ØºÜÀ   պարտք</t>
  </si>
  <si>
    <t>Ընդամենը  ՀՈԱԿ</t>
  </si>
  <si>
    <t>ø³Õ³ù³å»ï³ñ³Ý  1-1-1</t>
  </si>
  <si>
    <t xml:space="preserve"> ¼³·ë  1-3-1</t>
  </si>
  <si>
    <t xml:space="preserve"> ÙÇçáó³éáõÙ 8-2-4</t>
  </si>
  <si>
    <t>Ընդամենը   բյուջետային հիմն</t>
  </si>
  <si>
    <t>ÀÝ¹.ընթացիկ ծախսեր</t>
  </si>
  <si>
    <t>ÀÝ¹.կապ.ծախսեր</t>
  </si>
  <si>
    <t>ÀÜ¸²ØºÜÀ  ծախսեր</t>
  </si>
  <si>
    <t>êáó. ³å³ÑáíáõÃÛáõÝ  10-7-1</t>
  </si>
  <si>
    <t>ÀÝ¹³Ù»ÝÁ  ՀՈԱԿ</t>
  </si>
  <si>
    <t>Երաժշտական ¹åñáó</t>
  </si>
  <si>
    <t xml:space="preserve"> Ù³ñ½³¹åñáó</t>
  </si>
  <si>
    <t>Ùßակույթի  ïáõÝ</t>
  </si>
  <si>
    <t>ÂÇí  5 Ùանկապարտեզ</t>
  </si>
  <si>
    <t>ÂÇí  4 Ùանկապարտեզ</t>
  </si>
  <si>
    <t>ÂÇí  3 Ùանկապարտեզ</t>
  </si>
  <si>
    <t>ÂÇí  2 Ùանկապարտեզ</t>
  </si>
  <si>
    <t>ÂÇí  1 Ùանկապարտեզ</t>
  </si>
  <si>
    <t>ÂÇí  6 Ùանկապարտեզ</t>
  </si>
  <si>
    <t>ÂÇí  7 Ùանկապարտեզ</t>
  </si>
  <si>
    <t>ÂÇí  8 Ùանկապարտեզ</t>
  </si>
  <si>
    <t>ÂÇí  9 Ùանկապարտեզ</t>
  </si>
  <si>
    <t>ÂÇí  10 Ùանկապարտեզ</t>
  </si>
  <si>
    <t>ÂÇí  11 Ùանկապարտեզ</t>
  </si>
  <si>
    <t>ÂÇí  12 Ùանկապարտեզ</t>
  </si>
  <si>
    <t>Ընդամենը ՀՈԱԿ-ներ</t>
  </si>
  <si>
    <t>ÀÝ¹³Ù»ÝÁ ՀՈԱԿ-ներ</t>
  </si>
  <si>
    <t>ÀÝ¹³Ù»ÝÁ  մանկ.</t>
  </si>
  <si>
    <t>ÀÝ¹³Ù»ÝÁ  արտադպր.</t>
  </si>
  <si>
    <t>ÀÝ¹³Ù»ÝÁ  mank 9-1-1</t>
  </si>
  <si>
    <t>ÀÝ¹³Ù»ÝÁ  արտադպ.9-5-1</t>
  </si>
  <si>
    <t>Ùßակույթի  ïáõÝ  8-2-3</t>
  </si>
  <si>
    <t>¼µáë³Û·Ç  8-2-4</t>
  </si>
  <si>
    <t>¶ñ³¹³ñ³Ý  8-2-1</t>
  </si>
  <si>
    <t>æñ³Ù³ï³Ï³ñ³ñ  4-2-4</t>
  </si>
  <si>
    <t>Լուսավորություն  6-4-1</t>
  </si>
  <si>
    <t>դրամա- շնորհ</t>
  </si>
  <si>
    <t>գյուղատնտեսական ապրանքներ</t>
  </si>
  <si>
    <t>¹ñ³Ù. ÙÇçáóÝ»ñÇ ÙÝ³óáñ¹Á</t>
  </si>
  <si>
    <t>ÁÝ¹Ñ³Ýáõñ µÝáõÛÃÇ ³ÛÉ Í³Ëë»ñ</t>
  </si>
  <si>
    <t>նվիրատվություն</t>
  </si>
  <si>
    <t>ä³Ñáõëï³ÛÇÝ ÙÇçáóÝ»ñ 11 - 1 -2</t>
  </si>
  <si>
    <t>àչ ֆին.  Ակտ.իր. մուտքեր 4-9-1</t>
  </si>
  <si>
    <t>5111</t>
  </si>
  <si>
    <t>ß»Ýù»ñÇ ¨ßÇÝ.  ձեռք  բերում</t>
  </si>
  <si>
    <t>ß»Ýù»ñÇ ¨ßÇÝ.  Ï³å.Ýáñá·áõÙ</t>
  </si>
  <si>
    <t>4221</t>
  </si>
  <si>
    <t>4222</t>
  </si>
  <si>
    <t>·áñÍ. ¨ Í³é. áõÕ¨áñ.  Արտասահմ.</t>
  </si>
  <si>
    <t>·áñÍ. ¨ Í³é. áõÕ¨áñ. Ներքին</t>
  </si>
  <si>
    <t>ß»Ýù»ñÇ ¨ßÇÝ.-Ç Ï³å.Ýáñá·áõÙ</t>
  </si>
  <si>
    <t>ß»Ýù»ñÇ ¨ßÇÝ. Ï³ռուցáõÙ</t>
  </si>
  <si>
    <t>Մ³ñ½³¹åñáó</t>
  </si>
  <si>
    <t>Ծանոթու-  թյուն</t>
  </si>
  <si>
    <t>Ðá¹í³Í-  Ý»ñ</t>
  </si>
  <si>
    <t>ÀÝ¹. üáÝ¹³ÛÇÝ µÛáõç»</t>
  </si>
  <si>
    <t>ÀÜ¸²-ØºÜÀ</t>
  </si>
  <si>
    <t>4221/  4222</t>
  </si>
  <si>
    <t>ÀÜ¸² -ØºÜÀ</t>
  </si>
  <si>
    <t>ÀÝ¹.կապ   ծախսեր</t>
  </si>
  <si>
    <t>ÀÝ¹.í³ñã³ Ï³Ý µÛáõç»</t>
  </si>
  <si>
    <t>սուբսի-դիա</t>
  </si>
  <si>
    <t>¹ñ³Ù³ñÏÕ³ÛÇÝ Í³Ëë</t>
  </si>
  <si>
    <t>Ù³ñ½³¹åñáó</t>
  </si>
  <si>
    <t>մնաց. 01.01.18թ.</t>
  </si>
  <si>
    <t>Պարտքերը 01.01.18թ.դր.</t>
  </si>
  <si>
    <t>¹»µÇïáñ³Ï³Ý å³ñïù 01.01.18Ã</t>
  </si>
  <si>
    <t>Ք.  ²ðØ²ìÆð    Ð²Ø²ÚÜøÆ  ºÜÂ²Î²ÚàôÂÚ²Ü Ðà²Î-ÜºðÆ  2018Â.   ºÎ²ØàôîÜºðÆ   ºì   Ì²ÊêºðÆ     ²Øöàö</t>
  </si>
  <si>
    <t>Ընդամենը օտարումից մուտքեր</t>
  </si>
  <si>
    <t xml:space="preserve">ÀÜ¸²ØºÜÀ  ԾԱԽՍԵՐ  </t>
  </si>
  <si>
    <t xml:space="preserve">Ք.  ²ðØ²ìÆð   Ð²Ø²ÚÜøÆ   2018թ    ´ÚàôæԵÆ   Ì²ÊêºðÆ   ԱՄՓՈՓ                                                                                 </t>
  </si>
  <si>
    <t>¹»µÇïá-  ñ³Ï³Ý å³ñïù 01.01.18Ã</t>
  </si>
  <si>
    <t>գույքիօտարում</t>
  </si>
  <si>
    <t xml:space="preserve"> հողի  օտարում</t>
  </si>
  <si>
    <t>Ընդամենը   բյուջետային հիմնարկներ</t>
  </si>
  <si>
    <t xml:space="preserve">                                                                                </t>
  </si>
  <si>
    <t xml:space="preserve"> Ðà²Î-ÜºðÆ  31.03.2018թ. ԴՐՈՒԹՅԱՄԲ  ¸ð²Ø²ðÎÔ²ÚÆÜ   ԵԿԱՄՈՒՏՆԵՐԻ  ԵՎ   Ì²ÊêºðԻ  ԱՄՓՈՓ </t>
  </si>
  <si>
    <t xml:space="preserve">  Ðà²Î-ÜºðÆ  31.03.2018թ. ԴՐՈՒԹՅԱՄԲ  ՓԱՍՏԱՑԻ  ԵԿԱՄՈՒՏՆԵՐԻ  ԵՎ  Ì²ÊêºðԻ  ԱՄՓՈՓ </t>
  </si>
  <si>
    <t>Պարտքեր  31.03.2018թ. Դրությամբ</t>
  </si>
  <si>
    <t>կրեդիïáñ³Ï³Ý å³ñïù 01.04,18Ã.</t>
  </si>
  <si>
    <t>Բյուջեի կատարման դրամարկղային ամփոփ 31.03.2018թ. դր.</t>
  </si>
  <si>
    <t>Բյուջեի կատարման փաստացի ծախսերի  ամփոփ 31.03.2018թ. դր.</t>
  </si>
  <si>
    <t>Î³ï³ñí³Í առ 01.04.2018թ.</t>
  </si>
  <si>
    <t>կրեդÇïáñ³-  Ï³Ý å³ñïù 01.04.18Ã.</t>
  </si>
  <si>
    <t>Î³ï³ñí³Í առ 01,04,18թ.</t>
  </si>
  <si>
    <t>Ñ³ßíի ÙÝ³ó. 01.04.18թ. Դր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</si>
</sst>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  <numFmt numFmtId="183" formatCode="0;[Red]0"/>
    <numFmt numFmtId="184" formatCode="0.000;[Red]0.000"/>
    <numFmt numFmtId="185" formatCode="[$-FC19]d\ mmmm\ yyyy\ &quot;г.&quot;"/>
    <numFmt numFmtId="186" formatCode="[$-F800]dddd\,\ mmmm\ dd\,\ yyyy"/>
    <numFmt numFmtId="187" formatCode="#,##0.0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2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i/>
      <sz val="10"/>
      <name val="Times Armenian"/>
      <family val="1"/>
    </font>
    <font>
      <sz val="12"/>
      <name val="Arial LatArm"/>
      <family val="2"/>
    </font>
    <font>
      <sz val="11"/>
      <name val="Times Armenian"/>
      <family val="1"/>
    </font>
    <font>
      <b/>
      <sz val="13"/>
      <name val="Times Armenian"/>
      <family val="1"/>
    </font>
    <font>
      <b/>
      <sz val="11"/>
      <name val="Times Armenian"/>
      <family val="1"/>
    </font>
    <font>
      <b/>
      <sz val="12"/>
      <name val="Arial LatArm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LatArm"/>
      <family val="2"/>
    </font>
    <font>
      <sz val="8"/>
      <name val="Arial LatArm"/>
      <family val="2"/>
    </font>
    <font>
      <b/>
      <sz val="14"/>
      <name val="Times Armenian"/>
      <family val="1"/>
    </font>
    <font>
      <b/>
      <sz val="10"/>
      <name val="Times Armenian"/>
      <family val="1"/>
    </font>
    <font>
      <b/>
      <i/>
      <sz val="14"/>
      <name val="Times Armenian"/>
      <family val="1"/>
    </font>
    <font>
      <b/>
      <i/>
      <sz val="11"/>
      <name val="Times Armenian"/>
      <family val="1"/>
    </font>
    <font>
      <b/>
      <sz val="11"/>
      <color indexed="9"/>
      <name val="Times Armenian"/>
      <family val="1"/>
    </font>
    <font>
      <b/>
      <sz val="10"/>
      <color indexed="9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sz val="12"/>
      <name val="Times Armenian"/>
      <family val="1"/>
    </font>
    <font>
      <b/>
      <i/>
      <sz val="13"/>
      <name val="Times Armenian"/>
      <family val="1"/>
    </font>
    <font>
      <sz val="13"/>
      <name val="Times Armenian"/>
      <family val="1"/>
    </font>
    <font>
      <b/>
      <sz val="11"/>
      <name val="Arial LatArm"/>
      <family val="2"/>
    </font>
    <font>
      <sz val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 LatArm"/>
      <family val="2"/>
    </font>
    <font>
      <sz val="10"/>
      <color indexed="60"/>
      <name val="Arial LatArm"/>
      <family val="2"/>
    </font>
    <font>
      <sz val="10"/>
      <color indexed="10"/>
      <name val="Arial LatArm"/>
      <family val="2"/>
    </font>
    <font>
      <sz val="10"/>
      <color indexed="8"/>
      <name val="Arial LatArm"/>
      <family val="2"/>
    </font>
    <font>
      <b/>
      <sz val="10"/>
      <color indexed="10"/>
      <name val="Arial LatArm"/>
      <family val="2"/>
    </font>
    <font>
      <b/>
      <sz val="12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indexed="60"/>
      <name val="Times Armenian"/>
      <family val="1"/>
    </font>
    <font>
      <sz val="11"/>
      <color indexed="10"/>
      <name val="Times Armenian"/>
      <family val="1"/>
    </font>
    <font>
      <sz val="10"/>
      <color indexed="60"/>
      <name val="Times Armenian"/>
      <family val="1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C00000"/>
      <name val="Arial LatArm"/>
      <family val="2"/>
    </font>
    <font>
      <sz val="10"/>
      <color rgb="FFC00000"/>
      <name val="Arial LatArm"/>
      <family val="2"/>
    </font>
    <font>
      <sz val="10"/>
      <color rgb="FFFF0000"/>
      <name val="Arial LatArm"/>
      <family val="2"/>
    </font>
    <font>
      <sz val="10"/>
      <color theme="1"/>
      <name val="Arial LatArm"/>
      <family val="2"/>
    </font>
    <font>
      <b/>
      <sz val="10"/>
      <color rgb="FFFF0000"/>
      <name val="Arial LatArm"/>
      <family val="2"/>
    </font>
    <font>
      <b/>
      <sz val="12"/>
      <color theme="1"/>
      <name val="Arial LatArm"/>
      <family val="2"/>
    </font>
    <font>
      <b/>
      <sz val="10"/>
      <color theme="1"/>
      <name val="Arial LatArm"/>
      <family val="2"/>
    </font>
    <font>
      <sz val="11"/>
      <color rgb="FFC00000"/>
      <name val="Times Armenian"/>
      <family val="1"/>
    </font>
    <font>
      <sz val="11"/>
      <color rgb="FFFF0000"/>
      <name val="Times Armenian"/>
      <family val="1"/>
    </font>
    <font>
      <sz val="10"/>
      <color rgb="FFC00000"/>
      <name val="Times Armenian"/>
      <family val="1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701">
    <xf numFmtId="0" fontId="0" fillId="0" borderId="0" xfId="0" applyAlignment="1">
      <alignment/>
    </xf>
    <xf numFmtId="0" fontId="2" fillId="0" borderId="0" xfId="0" applyFont="1" applyAlignment="1">
      <alignment/>
    </xf>
    <xf numFmtId="180" fontId="8" fillId="0" borderId="0" xfId="33" applyNumberFormat="1" applyFont="1" applyFill="1" applyAlignment="1">
      <alignment/>
      <protection/>
    </xf>
    <xf numFmtId="180" fontId="8" fillId="0" borderId="0" xfId="33" applyNumberFormat="1" applyFont="1" applyFill="1">
      <alignment/>
      <protection/>
    </xf>
    <xf numFmtId="2" fontId="8" fillId="0" borderId="0" xfId="33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center"/>
    </xf>
    <xf numFmtId="180" fontId="4" fillId="0" borderId="10" xfId="33" applyNumberFormat="1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180" fontId="4" fillId="0" borderId="10" xfId="33" applyNumberFormat="1" applyFont="1" applyFill="1" applyBorder="1" applyAlignment="1">
      <alignment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12" xfId="34" applyNumberFormat="1" applyFont="1" applyBorder="1" applyAlignment="1">
      <alignment/>
      <protection/>
    </xf>
    <xf numFmtId="180" fontId="8" fillId="32" borderId="0" xfId="33" applyNumberFormat="1" applyFont="1" applyFill="1">
      <alignment/>
      <protection/>
    </xf>
    <xf numFmtId="180" fontId="8" fillId="32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0" xfId="33" applyNumberFormat="1" applyFont="1" applyFill="1" applyAlignment="1">
      <alignment/>
      <protection/>
    </xf>
    <xf numFmtId="180" fontId="6" fillId="0" borderId="0" xfId="33" applyNumberFormat="1" applyFont="1" applyFill="1">
      <alignment/>
      <protection/>
    </xf>
    <xf numFmtId="2" fontId="6" fillId="0" borderId="0" xfId="33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180" fontId="0" fillId="0" borderId="0" xfId="0" applyNumberFormat="1" applyFont="1" applyAlignment="1">
      <alignment/>
    </xf>
    <xf numFmtId="180" fontId="78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80" fontId="4" fillId="0" borderId="13" xfId="33" applyNumberFormat="1" applyFont="1" applyFill="1" applyBorder="1">
      <alignment/>
      <protection/>
    </xf>
    <xf numFmtId="180" fontId="4" fillId="0" borderId="14" xfId="33" applyNumberFormat="1" applyFont="1" applyFill="1" applyBorder="1">
      <alignment/>
      <protection/>
    </xf>
    <xf numFmtId="180" fontId="4" fillId="0" borderId="15" xfId="33" applyNumberFormat="1" applyFont="1" applyFill="1" applyBorder="1">
      <alignment/>
      <protection/>
    </xf>
    <xf numFmtId="1" fontId="4" fillId="0" borderId="16" xfId="33" applyNumberFormat="1" applyFont="1" applyFill="1" applyBorder="1" applyAlignment="1">
      <alignment horizontal="center" vertical="center"/>
      <protection/>
    </xf>
    <xf numFmtId="1" fontId="4" fillId="0" borderId="17" xfId="33" applyNumberFormat="1" applyFont="1" applyFill="1" applyBorder="1" applyAlignment="1">
      <alignment horizontal="center" vertical="center"/>
      <protection/>
    </xf>
    <xf numFmtId="1" fontId="4" fillId="0" borderId="17" xfId="33" applyNumberFormat="1" applyFont="1" applyFill="1" applyBorder="1" applyAlignment="1">
      <alignment horizontal="center" vertical="center" wrapText="1"/>
      <protection/>
    </xf>
    <xf numFmtId="49" fontId="4" fillId="0" borderId="17" xfId="33" applyNumberFormat="1" applyFont="1" applyFill="1" applyBorder="1" applyAlignment="1">
      <alignment horizontal="center" vertical="center"/>
      <protection/>
    </xf>
    <xf numFmtId="180" fontId="4" fillId="0" borderId="17" xfId="33" applyNumberFormat="1" applyFont="1" applyFill="1" applyBorder="1" applyAlignment="1">
      <alignment horizontal="center" vertical="center"/>
      <protection/>
    </xf>
    <xf numFmtId="49" fontId="9" fillId="33" borderId="18" xfId="33" applyNumberFormat="1" applyFont="1" applyFill="1" applyBorder="1" applyAlignment="1">
      <alignment vertical="center" wrapText="1"/>
      <protection/>
    </xf>
    <xf numFmtId="49" fontId="9" fillId="33" borderId="17" xfId="33" applyNumberFormat="1" applyFont="1" applyFill="1" applyBorder="1" applyAlignment="1">
      <alignment vertical="center"/>
      <protection/>
    </xf>
    <xf numFmtId="180" fontId="4" fillId="33" borderId="15" xfId="33" applyNumberFormat="1" applyFont="1" applyFill="1" applyBorder="1">
      <alignment/>
      <protection/>
    </xf>
    <xf numFmtId="180" fontId="4" fillId="33" borderId="19" xfId="33" applyNumberFormat="1" applyFont="1" applyFill="1" applyBorder="1">
      <alignment/>
      <protection/>
    </xf>
    <xf numFmtId="180" fontId="4" fillId="33" borderId="10" xfId="33" applyNumberFormat="1" applyFont="1" applyFill="1" applyBorder="1">
      <alignment/>
      <protection/>
    </xf>
    <xf numFmtId="180" fontId="4" fillId="33" borderId="20" xfId="33" applyNumberFormat="1" applyFont="1" applyFill="1" applyBorder="1">
      <alignment/>
      <protection/>
    </xf>
    <xf numFmtId="180" fontId="4" fillId="13" borderId="14" xfId="33" applyNumberFormat="1" applyFont="1" applyFill="1" applyBorder="1">
      <alignment/>
      <protection/>
    </xf>
    <xf numFmtId="180" fontId="4" fillId="12" borderId="16" xfId="33" applyNumberFormat="1" applyFont="1" applyFill="1" applyBorder="1" applyAlignment="1">
      <alignment horizontal="center" vertical="center" wrapText="1"/>
      <protection/>
    </xf>
    <xf numFmtId="180" fontId="4" fillId="12" borderId="21" xfId="33" applyNumberFormat="1" applyFont="1" applyFill="1" applyBorder="1" applyAlignment="1">
      <alignment horizontal="center" vertical="center" wrapText="1"/>
      <protection/>
    </xf>
    <xf numFmtId="180" fontId="4" fillId="12" borderId="15" xfId="33" applyNumberFormat="1" applyFont="1" applyFill="1" applyBorder="1">
      <alignment/>
      <protection/>
    </xf>
    <xf numFmtId="180" fontId="4" fillId="12" borderId="10" xfId="33" applyNumberFormat="1" applyFont="1" applyFill="1" applyBorder="1">
      <alignment/>
      <protection/>
    </xf>
    <xf numFmtId="2" fontId="7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4" fillId="12" borderId="16" xfId="33" applyNumberFormat="1" applyFont="1" applyFill="1" applyBorder="1" applyAlignment="1">
      <alignment horizontal="center" vertical="center"/>
      <protection/>
    </xf>
    <xf numFmtId="1" fontId="4" fillId="12" borderId="17" xfId="33" applyNumberFormat="1" applyFont="1" applyFill="1" applyBorder="1" applyAlignment="1">
      <alignment horizontal="center" vertical="center"/>
      <protection/>
    </xf>
    <xf numFmtId="1" fontId="4" fillId="12" borderId="17" xfId="33" applyNumberFormat="1" applyFont="1" applyFill="1" applyBorder="1" applyAlignment="1">
      <alignment horizontal="center" vertical="center" wrapText="1"/>
      <protection/>
    </xf>
    <xf numFmtId="49" fontId="4" fillId="12" borderId="17" xfId="33" applyNumberFormat="1" applyFont="1" applyFill="1" applyBorder="1" applyAlignment="1">
      <alignment horizontal="center" vertical="center"/>
      <protection/>
    </xf>
    <xf numFmtId="2" fontId="4" fillId="12" borderId="18" xfId="33" applyNumberFormat="1" applyFont="1" applyFill="1" applyBorder="1" applyAlignment="1">
      <alignment horizontal="center" vertical="center" wrapText="1"/>
      <protection/>
    </xf>
    <xf numFmtId="180" fontId="4" fillId="34" borderId="16" xfId="33" applyNumberFormat="1" applyFont="1" applyFill="1" applyBorder="1" applyAlignment="1">
      <alignment horizontal="center" vertical="center" wrapText="1"/>
      <protection/>
    </xf>
    <xf numFmtId="180" fontId="5" fillId="12" borderId="17" xfId="33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Fill="1" applyAlignment="1">
      <alignment/>
    </xf>
    <xf numFmtId="180" fontId="4" fillId="33" borderId="22" xfId="33" applyNumberFormat="1" applyFont="1" applyFill="1" applyBorder="1">
      <alignment/>
      <protection/>
    </xf>
    <xf numFmtId="180" fontId="4" fillId="33" borderId="23" xfId="33" applyNumberFormat="1" applyFont="1" applyFill="1" applyBorder="1">
      <alignment/>
      <protection/>
    </xf>
    <xf numFmtId="180" fontId="4" fillId="12" borderId="23" xfId="33" applyNumberFormat="1" applyFont="1" applyFill="1" applyBorder="1">
      <alignment/>
      <protection/>
    </xf>
    <xf numFmtId="180" fontId="4" fillId="0" borderId="24" xfId="33" applyNumberFormat="1" applyFont="1" applyFill="1" applyBorder="1">
      <alignment/>
      <protection/>
    </xf>
    <xf numFmtId="180" fontId="4" fillId="0" borderId="23" xfId="33" applyNumberFormat="1" applyFont="1" applyFill="1" applyBorder="1">
      <alignment/>
      <protection/>
    </xf>
    <xf numFmtId="180" fontId="4" fillId="0" borderId="23" xfId="33" applyNumberFormat="1" applyFont="1" applyFill="1" applyBorder="1" applyAlignment="1">
      <alignment/>
      <protection/>
    </xf>
    <xf numFmtId="180" fontId="5" fillId="32" borderId="25" xfId="33" applyNumberFormat="1" applyFont="1" applyFill="1" applyBorder="1">
      <alignment/>
      <protection/>
    </xf>
    <xf numFmtId="180" fontId="5" fillId="0" borderId="0" xfId="0" applyNumberFormat="1" applyFont="1" applyFill="1" applyBorder="1" applyAlignment="1">
      <alignment/>
    </xf>
    <xf numFmtId="49" fontId="4" fillId="0" borderId="26" xfId="33" applyNumberFormat="1" applyFont="1" applyFill="1" applyBorder="1" applyAlignment="1">
      <alignment horizontal="center" vertical="center"/>
      <protection/>
    </xf>
    <xf numFmtId="180" fontId="5" fillId="32" borderId="27" xfId="33" applyNumberFormat="1" applyFont="1" applyFill="1" applyBorder="1" applyAlignment="1">
      <alignment wrapText="1"/>
      <protection/>
    </xf>
    <xf numFmtId="1" fontId="4" fillId="0" borderId="26" xfId="33" applyNumberFormat="1" applyFont="1" applyFill="1" applyBorder="1" applyAlignment="1">
      <alignment horizontal="center" vertical="center"/>
      <protection/>
    </xf>
    <xf numFmtId="49" fontId="4" fillId="0" borderId="16" xfId="33" applyNumberFormat="1" applyFont="1" applyFill="1" applyBorder="1" applyAlignment="1">
      <alignment horizontal="center" vertical="center"/>
      <protection/>
    </xf>
    <xf numFmtId="1" fontId="4" fillId="0" borderId="25" xfId="33" applyNumberFormat="1" applyFont="1" applyFill="1" applyBorder="1" applyAlignment="1">
      <alignment horizontal="center" vertical="center" wrapText="1"/>
      <protection/>
    </xf>
    <xf numFmtId="180" fontId="4" fillId="0" borderId="25" xfId="33" applyNumberFormat="1" applyFont="1" applyFill="1" applyBorder="1" applyAlignment="1">
      <alignment horizontal="center" vertical="center" wrapText="1"/>
      <protection/>
    </xf>
    <xf numFmtId="180" fontId="4" fillId="0" borderId="28" xfId="33" applyNumberFormat="1" applyFont="1" applyFill="1" applyBorder="1">
      <alignment/>
      <protection/>
    </xf>
    <xf numFmtId="180" fontId="5" fillId="0" borderId="25" xfId="33" applyNumberFormat="1" applyFont="1" applyFill="1" applyBorder="1">
      <alignment/>
      <protection/>
    </xf>
    <xf numFmtId="180" fontId="4" fillId="0" borderId="29" xfId="33" applyNumberFormat="1" applyFont="1" applyFill="1" applyBorder="1">
      <alignment/>
      <protection/>
    </xf>
    <xf numFmtId="180" fontId="4" fillId="0" borderId="10" xfId="33" applyNumberFormat="1" applyFont="1" applyFill="1" applyBorder="1" applyAlignment="1">
      <alignment horizontal="center" vertical="center" wrapText="1"/>
      <protection/>
    </xf>
    <xf numFmtId="180" fontId="4" fillId="0" borderId="10" xfId="33" applyNumberFormat="1" applyFont="1" applyFill="1" applyBorder="1" applyAlignment="1">
      <alignment horizontal="center" vertical="center"/>
      <protection/>
    </xf>
    <xf numFmtId="180" fontId="4" fillId="0" borderId="15" xfId="33" applyNumberFormat="1" applyFont="1" applyFill="1" applyBorder="1" applyAlignment="1">
      <alignment horizontal="center" vertical="center" wrapText="1"/>
      <protection/>
    </xf>
    <xf numFmtId="180" fontId="4" fillId="0" borderId="15" xfId="33" applyNumberFormat="1" applyFont="1" applyFill="1" applyBorder="1" applyAlignment="1">
      <alignment horizontal="center" vertical="center"/>
      <protection/>
    </xf>
    <xf numFmtId="180" fontId="2" fillId="33" borderId="19" xfId="33" applyNumberFormat="1" applyFont="1" applyFill="1" applyBorder="1" applyAlignment="1">
      <alignment horizontal="right" vertical="center" wrapText="1"/>
      <protection/>
    </xf>
    <xf numFmtId="180" fontId="2" fillId="33" borderId="15" xfId="33" applyNumberFormat="1" applyFont="1" applyFill="1" applyBorder="1" applyAlignment="1">
      <alignment vertical="center"/>
      <protection/>
    </xf>
    <xf numFmtId="180" fontId="79" fillId="0" borderId="15" xfId="33" applyNumberFormat="1" applyFont="1" applyFill="1" applyBorder="1" applyAlignment="1">
      <alignment horizontal="center" vertical="center" wrapText="1"/>
      <protection/>
    </xf>
    <xf numFmtId="180" fontId="80" fillId="0" borderId="15" xfId="33" applyNumberFormat="1" applyFont="1" applyFill="1" applyBorder="1" applyAlignment="1">
      <alignment horizontal="center" vertical="center" wrapText="1"/>
      <protection/>
    </xf>
    <xf numFmtId="180" fontId="80" fillId="0" borderId="15" xfId="33" applyNumberFormat="1" applyFont="1" applyFill="1" applyBorder="1" applyAlignment="1">
      <alignment horizontal="center" vertical="center"/>
      <protection/>
    </xf>
    <xf numFmtId="180" fontId="4" fillId="0" borderId="30" xfId="33" applyNumberFormat="1" applyFont="1" applyFill="1" applyBorder="1">
      <alignment/>
      <protection/>
    </xf>
    <xf numFmtId="0" fontId="4" fillId="0" borderId="30" xfId="33" applyNumberFormat="1" applyFont="1" applyFill="1" applyBorder="1">
      <alignment/>
      <protection/>
    </xf>
    <xf numFmtId="180" fontId="4" fillId="0" borderId="18" xfId="33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180" fontId="15" fillId="32" borderId="16" xfId="33" applyNumberFormat="1" applyFont="1" applyFill="1" applyBorder="1" applyAlignment="1">
      <alignment horizontal="center" vertical="center" textRotation="90" wrapText="1"/>
      <protection/>
    </xf>
    <xf numFmtId="180" fontId="4" fillId="12" borderId="16" xfId="33" applyNumberFormat="1" applyFont="1" applyFill="1" applyBorder="1" applyAlignment="1">
      <alignment horizontal="center" vertical="center" textRotation="90" wrapText="1"/>
      <protection/>
    </xf>
    <xf numFmtId="180" fontId="16" fillId="33" borderId="21" xfId="33" applyNumberFormat="1" applyFont="1" applyFill="1" applyBorder="1" applyAlignment="1">
      <alignment horizontal="center" vertical="center" wrapText="1"/>
      <protection/>
    </xf>
    <xf numFmtId="180" fontId="81" fillId="12" borderId="15" xfId="33" applyNumberFormat="1" applyFont="1" applyFill="1" applyBorder="1">
      <alignment/>
      <protection/>
    </xf>
    <xf numFmtId="180" fontId="81" fillId="12" borderId="31" xfId="33" applyNumberFormat="1" applyFont="1" applyFill="1" applyBorder="1">
      <alignment/>
      <protection/>
    </xf>
    <xf numFmtId="180" fontId="81" fillId="0" borderId="15" xfId="33" applyNumberFormat="1" applyFont="1" applyFill="1" applyBorder="1">
      <alignment/>
      <protection/>
    </xf>
    <xf numFmtId="180" fontId="81" fillId="0" borderId="10" xfId="33" applyNumberFormat="1" applyFont="1" applyFill="1" applyBorder="1">
      <alignment/>
      <protection/>
    </xf>
    <xf numFmtId="180" fontId="81" fillId="0" borderId="23" xfId="33" applyNumberFormat="1" applyFont="1" applyFill="1" applyBorder="1">
      <alignment/>
      <protection/>
    </xf>
    <xf numFmtId="180" fontId="81" fillId="34" borderId="15" xfId="33" applyNumberFormat="1" applyFont="1" applyFill="1" applyBorder="1">
      <alignment/>
      <protection/>
    </xf>
    <xf numFmtId="180" fontId="81" fillId="12" borderId="32" xfId="33" applyNumberFormat="1" applyFont="1" applyFill="1" applyBorder="1">
      <alignment/>
      <protection/>
    </xf>
    <xf numFmtId="180" fontId="8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180" fontId="2" fillId="0" borderId="21" xfId="34" applyNumberFormat="1" applyFont="1" applyBorder="1" applyAlignment="1">
      <alignment horizontal="center" vertical="center" wrapText="1"/>
      <protection/>
    </xf>
    <xf numFmtId="180" fontId="2" fillId="0" borderId="33" xfId="34" applyNumberFormat="1" applyFont="1" applyBorder="1" applyAlignment="1">
      <alignment horizontal="center" vertical="center" wrapText="1"/>
      <protection/>
    </xf>
    <xf numFmtId="0" fontId="2" fillId="0" borderId="34" xfId="34" applyFont="1" applyBorder="1" applyAlignment="1">
      <alignment horizontal="center" vertical="center" wrapText="1"/>
      <protection/>
    </xf>
    <xf numFmtId="0" fontId="2" fillId="0" borderId="27" xfId="34" applyFont="1" applyBorder="1" applyAlignment="1">
      <alignment horizontal="center" vertical="center" wrapText="1"/>
      <protection/>
    </xf>
    <xf numFmtId="0" fontId="2" fillId="0" borderId="25" xfId="34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180" fontId="2" fillId="0" borderId="25" xfId="34" applyNumberFormat="1" applyFont="1" applyBorder="1" applyAlignment="1">
      <alignment horizontal="center" vertical="center" wrapText="1"/>
      <protection/>
    </xf>
    <xf numFmtId="180" fontId="2" fillId="0" borderId="27" xfId="34" applyNumberFormat="1" applyFont="1" applyBorder="1" applyAlignment="1">
      <alignment horizontal="center" vertical="center" wrapText="1"/>
      <protection/>
    </xf>
    <xf numFmtId="180" fontId="2" fillId="0" borderId="35" xfId="34" applyNumberFormat="1" applyFont="1" applyBorder="1" applyAlignment="1">
      <alignment horizontal="center" vertical="center" wrapText="1"/>
      <protection/>
    </xf>
    <xf numFmtId="49" fontId="2" fillId="0" borderId="27" xfId="34" applyNumberFormat="1" applyFont="1" applyBorder="1" applyAlignment="1">
      <alignment horizontal="center"/>
      <protection/>
    </xf>
    <xf numFmtId="49" fontId="2" fillId="0" borderId="25" xfId="34" applyNumberFormat="1" applyFont="1" applyBorder="1" applyAlignment="1">
      <alignment horizontal="center"/>
      <protection/>
    </xf>
    <xf numFmtId="49" fontId="18" fillId="0" borderId="21" xfId="34" applyNumberFormat="1" applyFont="1" applyBorder="1" applyAlignment="1">
      <alignment horizontal="center"/>
      <protection/>
    </xf>
    <xf numFmtId="180" fontId="20" fillId="0" borderId="25" xfId="34" applyNumberFormat="1" applyFont="1" applyBorder="1">
      <alignment/>
      <protection/>
    </xf>
    <xf numFmtId="180" fontId="20" fillId="0" borderId="27" xfId="34" applyNumberFormat="1" applyFont="1" applyBorder="1">
      <alignment/>
      <protection/>
    </xf>
    <xf numFmtId="180" fontId="20" fillId="0" borderId="33" xfId="34" applyNumberFormat="1" applyFont="1" applyBorder="1">
      <alignment/>
      <protection/>
    </xf>
    <xf numFmtId="49" fontId="2" fillId="0" borderId="21" xfId="34" applyNumberFormat="1" applyFont="1" applyBorder="1" applyAlignment="1">
      <alignment horizontal="center"/>
      <protection/>
    </xf>
    <xf numFmtId="180" fontId="18" fillId="0" borderId="25" xfId="34" applyNumberFormat="1" applyFont="1" applyBorder="1">
      <alignment/>
      <protection/>
    </xf>
    <xf numFmtId="49" fontId="2" fillId="0" borderId="28" xfId="34" applyNumberFormat="1" applyFont="1" applyBorder="1" applyAlignment="1">
      <alignment horizontal="center"/>
      <protection/>
    </xf>
    <xf numFmtId="49" fontId="2" fillId="0" borderId="36" xfId="34" applyNumberFormat="1" applyFont="1" applyBorder="1" applyAlignment="1">
      <alignment horizontal="center"/>
      <protection/>
    </xf>
    <xf numFmtId="180" fontId="2" fillId="0" borderId="28" xfId="34" applyNumberFormat="1" applyFont="1" applyBorder="1">
      <alignment/>
      <protection/>
    </xf>
    <xf numFmtId="180" fontId="2" fillId="0" borderId="37" xfId="34" applyNumberFormat="1" applyFont="1" applyBorder="1">
      <alignment/>
      <protection/>
    </xf>
    <xf numFmtId="49" fontId="2" fillId="0" borderId="12" xfId="34" applyNumberFormat="1" applyFont="1" applyBorder="1" applyAlignment="1">
      <alignment horizontal="center"/>
      <protection/>
    </xf>
    <xf numFmtId="49" fontId="2" fillId="0" borderId="30" xfId="34" applyNumberFormat="1" applyFont="1" applyBorder="1" applyAlignment="1">
      <alignment horizontal="center"/>
      <protection/>
    </xf>
    <xf numFmtId="49" fontId="2" fillId="0" borderId="38" xfId="34" applyNumberFormat="1" applyFont="1" applyBorder="1" applyAlignment="1">
      <alignment horizontal="center"/>
      <protection/>
    </xf>
    <xf numFmtId="180" fontId="2" fillId="0" borderId="30" xfId="34" applyNumberFormat="1" applyFont="1" applyBorder="1">
      <alignment/>
      <protection/>
    </xf>
    <xf numFmtId="180" fontId="2" fillId="0" borderId="39" xfId="34" applyNumberFormat="1" applyFont="1" applyBorder="1">
      <alignment/>
      <protection/>
    </xf>
    <xf numFmtId="180" fontId="18" fillId="0" borderId="27" xfId="34" applyNumberFormat="1" applyFont="1" applyBorder="1">
      <alignment/>
      <protection/>
    </xf>
    <xf numFmtId="180" fontId="2" fillId="0" borderId="40" xfId="34" applyNumberFormat="1" applyFont="1" applyBorder="1">
      <alignment/>
      <protection/>
    </xf>
    <xf numFmtId="180" fontId="2" fillId="0" borderId="41" xfId="34" applyNumberFormat="1" applyFont="1" applyBorder="1">
      <alignment/>
      <protection/>
    </xf>
    <xf numFmtId="180" fontId="18" fillId="0" borderId="40" xfId="34" applyNumberFormat="1" applyFont="1" applyBorder="1">
      <alignment/>
      <protection/>
    </xf>
    <xf numFmtId="180" fontId="18" fillId="0" borderId="39" xfId="34" applyNumberFormat="1" applyFont="1" applyBorder="1">
      <alignment/>
      <protection/>
    </xf>
    <xf numFmtId="180" fontId="2" fillId="0" borderId="42" xfId="34" applyNumberFormat="1" applyFont="1" applyBorder="1">
      <alignment/>
      <protection/>
    </xf>
    <xf numFmtId="180" fontId="2" fillId="0" borderId="29" xfId="34" applyNumberFormat="1" applyFont="1" applyBorder="1">
      <alignment/>
      <protection/>
    </xf>
    <xf numFmtId="49" fontId="18" fillId="0" borderId="33" xfId="34" applyNumberFormat="1" applyFont="1" applyBorder="1" applyAlignment="1">
      <alignment horizontal="center"/>
      <protection/>
    </xf>
    <xf numFmtId="49" fontId="18" fillId="0" borderId="25" xfId="34" applyNumberFormat="1" applyFont="1" applyBorder="1" applyAlignment="1">
      <alignment horizontal="center"/>
      <protection/>
    </xf>
    <xf numFmtId="49" fontId="18" fillId="0" borderId="16" xfId="34" applyNumberFormat="1" applyFont="1" applyBorder="1" applyAlignment="1">
      <alignment horizontal="center"/>
      <protection/>
    </xf>
    <xf numFmtId="180" fontId="18" fillId="0" borderId="17" xfId="34" applyNumberFormat="1" applyFont="1" applyBorder="1">
      <alignment/>
      <protection/>
    </xf>
    <xf numFmtId="180" fontId="18" fillId="0" borderId="26" xfId="34" applyNumberFormat="1" applyFont="1" applyBorder="1">
      <alignment/>
      <protection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41" xfId="34" applyNumberFormat="1" applyFont="1" applyBorder="1" applyAlignment="1">
      <alignment horizontal="center"/>
      <protection/>
    </xf>
    <xf numFmtId="0" fontId="2" fillId="0" borderId="43" xfId="34" applyFont="1" applyFill="1" applyBorder="1" applyAlignment="1">
      <alignment horizontal="center" vertical="center" wrapText="1"/>
      <protection/>
    </xf>
    <xf numFmtId="0" fontId="2" fillId="0" borderId="44" xfId="34" applyFont="1" applyFill="1" applyBorder="1" applyAlignment="1">
      <alignment horizontal="center" vertical="center" wrapText="1"/>
      <protection/>
    </xf>
    <xf numFmtId="180" fontId="2" fillId="0" borderId="25" xfId="34" applyNumberFormat="1" applyFont="1" applyFill="1" applyBorder="1" applyAlignment="1">
      <alignment horizontal="center" vertical="center" wrapText="1"/>
      <protection/>
    </xf>
    <xf numFmtId="180" fontId="20" fillId="0" borderId="28" xfId="34" applyNumberFormat="1" applyFont="1" applyFill="1" applyBorder="1">
      <alignment/>
      <protection/>
    </xf>
    <xf numFmtId="49" fontId="2" fillId="0" borderId="28" xfId="34" applyNumberFormat="1" applyFont="1" applyFill="1" applyBorder="1" applyAlignment="1">
      <alignment horizontal="center"/>
      <protection/>
    </xf>
    <xf numFmtId="49" fontId="2" fillId="0" borderId="30" xfId="34" applyNumberFormat="1" applyFont="1" applyFill="1" applyBorder="1" applyAlignment="1">
      <alignment horizontal="center"/>
      <protection/>
    </xf>
    <xf numFmtId="180" fontId="2" fillId="0" borderId="30" xfId="34" applyNumberFormat="1" applyFont="1" applyFill="1" applyBorder="1">
      <alignment/>
      <protection/>
    </xf>
    <xf numFmtId="180" fontId="2" fillId="0" borderId="39" xfId="34" applyNumberFormat="1" applyFont="1" applyFill="1" applyBorder="1">
      <alignment/>
      <protection/>
    </xf>
    <xf numFmtId="0" fontId="2" fillId="0" borderId="12" xfId="34" applyFont="1" applyFill="1" applyBorder="1" applyAlignment="1">
      <alignment horizontal="left"/>
      <protection/>
    </xf>
    <xf numFmtId="0" fontId="2" fillId="0" borderId="39" xfId="34" applyFont="1" applyFill="1" applyBorder="1" applyAlignment="1">
      <alignment horizontal="left"/>
      <protection/>
    </xf>
    <xf numFmtId="0" fontId="2" fillId="0" borderId="38" xfId="34" applyFont="1" applyFill="1" applyBorder="1" applyAlignment="1">
      <alignment horizontal="center"/>
      <protection/>
    </xf>
    <xf numFmtId="49" fontId="2" fillId="0" borderId="34" xfId="34" applyNumberFormat="1" applyFont="1" applyFill="1" applyBorder="1" applyAlignment="1">
      <alignment horizontal="center"/>
      <protection/>
    </xf>
    <xf numFmtId="180" fontId="2" fillId="0" borderId="28" xfId="34" applyNumberFormat="1" applyFont="1" applyFill="1" applyBorder="1">
      <alignment/>
      <protection/>
    </xf>
    <xf numFmtId="180" fontId="2" fillId="0" borderId="37" xfId="34" applyNumberFormat="1" applyFont="1" applyFill="1" applyBorder="1">
      <alignment/>
      <protection/>
    </xf>
    <xf numFmtId="49" fontId="2" fillId="0" borderId="38" xfId="34" applyNumberFormat="1" applyFont="1" applyFill="1" applyBorder="1" applyAlignment="1">
      <alignment horizontal="center"/>
      <protection/>
    </xf>
    <xf numFmtId="49" fontId="2" fillId="0" borderId="12" xfId="34" applyNumberFormat="1" applyFont="1" applyFill="1" applyBorder="1" applyAlignment="1">
      <alignment horizontal="center"/>
      <protection/>
    </xf>
    <xf numFmtId="49" fontId="2" fillId="0" borderId="45" xfId="34" applyNumberFormat="1" applyFont="1" applyFill="1" applyBorder="1" applyAlignment="1">
      <alignment horizontal="center"/>
      <protection/>
    </xf>
    <xf numFmtId="180" fontId="2" fillId="0" borderId="29" xfId="0" applyNumberFormat="1" applyFont="1" applyFill="1" applyBorder="1" applyAlignment="1">
      <alignment/>
    </xf>
    <xf numFmtId="180" fontId="4" fillId="32" borderId="27" xfId="33" applyNumberFormat="1" applyFont="1" applyFill="1" applyBorder="1" applyAlignment="1">
      <alignment horizontal="center" vertical="center" wrapText="1"/>
      <protection/>
    </xf>
    <xf numFmtId="180" fontId="5" fillId="0" borderId="27" xfId="33" applyNumberFormat="1" applyFont="1" applyFill="1" applyBorder="1">
      <alignment/>
      <protection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0" fontId="4" fillId="0" borderId="32" xfId="33" applyNumberFormat="1" applyFont="1" applyFill="1" applyBorder="1" applyAlignment="1">
      <alignment horizontal="center" vertical="center" wrapText="1"/>
      <protection/>
    </xf>
    <xf numFmtId="180" fontId="4" fillId="0" borderId="46" xfId="33" applyNumberFormat="1" applyFont="1" applyFill="1" applyBorder="1" applyAlignment="1">
      <alignment horizontal="center" vertical="center" wrapText="1"/>
      <protection/>
    </xf>
    <xf numFmtId="180" fontId="4" fillId="0" borderId="47" xfId="33" applyNumberFormat="1" applyFont="1" applyFill="1" applyBorder="1" applyAlignment="1">
      <alignment horizontal="center" vertical="center" wrapText="1"/>
      <protection/>
    </xf>
    <xf numFmtId="180" fontId="79" fillId="0" borderId="32" xfId="33" applyNumberFormat="1" applyFont="1" applyFill="1" applyBorder="1" applyAlignment="1">
      <alignment horizontal="center" vertical="center" wrapText="1"/>
      <protection/>
    </xf>
    <xf numFmtId="180" fontId="4" fillId="0" borderId="32" xfId="33" applyNumberFormat="1" applyFont="1" applyFill="1" applyBorder="1" applyAlignment="1">
      <alignment horizontal="center" vertical="center"/>
      <protection/>
    </xf>
    <xf numFmtId="180" fontId="4" fillId="0" borderId="42" xfId="33" applyNumberFormat="1" applyFont="1" applyFill="1" applyBorder="1" applyAlignment="1">
      <alignment horizontal="center" vertical="center" wrapText="1"/>
      <protection/>
    </xf>
    <xf numFmtId="180" fontId="80" fillId="0" borderId="10" xfId="33" applyNumberFormat="1" applyFont="1" applyFill="1" applyBorder="1" applyAlignment="1">
      <alignment horizontal="center" vertical="center"/>
      <protection/>
    </xf>
    <xf numFmtId="180" fontId="80" fillId="0" borderId="10" xfId="33" applyNumberFormat="1" applyFont="1" applyFill="1" applyBorder="1" applyAlignment="1">
      <alignment horizontal="center" vertical="center" wrapText="1"/>
      <protection/>
    </xf>
    <xf numFmtId="49" fontId="2" fillId="0" borderId="29" xfId="34" applyNumberFormat="1" applyFont="1" applyFill="1" applyBorder="1" applyAlignment="1">
      <alignment horizontal="center"/>
      <protection/>
    </xf>
    <xf numFmtId="49" fontId="2" fillId="0" borderId="48" xfId="34" applyNumberFormat="1" applyFont="1" applyFill="1" applyBorder="1" applyAlignment="1">
      <alignment horizontal="center"/>
      <protection/>
    </xf>
    <xf numFmtId="180" fontId="2" fillId="0" borderId="48" xfId="34" applyNumberFormat="1" applyFont="1" applyFill="1" applyBorder="1">
      <alignment/>
      <protection/>
    </xf>
    <xf numFmtId="180" fontId="2" fillId="0" borderId="49" xfId="34" applyNumberFormat="1" applyFont="1" applyFill="1" applyBorder="1">
      <alignment/>
      <protection/>
    </xf>
    <xf numFmtId="49" fontId="2" fillId="0" borderId="11" xfId="34" applyNumberFormat="1" applyFont="1" applyFill="1" applyBorder="1" applyAlignment="1">
      <alignment horizontal="center"/>
      <protection/>
    </xf>
    <xf numFmtId="49" fontId="2" fillId="0" borderId="31" xfId="34" applyNumberFormat="1" applyFont="1" applyFill="1" applyBorder="1" applyAlignment="1">
      <alignment horizontal="center"/>
      <protection/>
    </xf>
    <xf numFmtId="180" fontId="20" fillId="0" borderId="11" xfId="34" applyNumberFormat="1" applyFont="1" applyFill="1" applyBorder="1">
      <alignment/>
      <protection/>
    </xf>
    <xf numFmtId="180" fontId="2" fillId="0" borderId="34" xfId="0" applyNumberFormat="1" applyFont="1" applyFill="1" applyBorder="1" applyAlignment="1">
      <alignment/>
    </xf>
    <xf numFmtId="180" fontId="2" fillId="0" borderId="50" xfId="0" applyNumberFormat="1" applyFont="1" applyFill="1" applyBorder="1" applyAlignment="1">
      <alignment/>
    </xf>
    <xf numFmtId="180" fontId="2" fillId="0" borderId="33" xfId="34" applyNumberFormat="1" applyFont="1" applyFill="1" applyBorder="1" applyAlignment="1">
      <alignment horizontal="center" vertical="center" wrapText="1"/>
      <protection/>
    </xf>
    <xf numFmtId="180" fontId="20" fillId="0" borderId="37" xfId="34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51" xfId="34" applyNumberFormat="1" applyFont="1" applyFill="1" applyBorder="1" applyAlignment="1">
      <alignment horizontal="center"/>
      <protection/>
    </xf>
    <xf numFmtId="180" fontId="2" fillId="0" borderId="51" xfId="34" applyNumberFormat="1" applyFont="1" applyFill="1" applyBorder="1">
      <alignment/>
      <protection/>
    </xf>
    <xf numFmtId="180" fontId="2" fillId="0" borderId="52" xfId="34" applyNumberFormat="1" applyFont="1" applyFill="1" applyBorder="1">
      <alignment/>
      <protection/>
    </xf>
    <xf numFmtId="180" fontId="2" fillId="0" borderId="53" xfId="0" applyNumberFormat="1" applyFont="1" applyFill="1" applyBorder="1" applyAlignment="1">
      <alignment/>
    </xf>
    <xf numFmtId="1" fontId="4" fillId="0" borderId="33" xfId="33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7" fillId="0" borderId="41" xfId="34" applyNumberFormat="1" applyFont="1" applyFill="1" applyBorder="1" applyAlignment="1">
      <alignment horizontal="center"/>
      <protection/>
    </xf>
    <xf numFmtId="49" fontId="10" fillId="0" borderId="41" xfId="34" applyNumberFormat="1" applyFont="1" applyFill="1" applyBorder="1" applyAlignment="1">
      <alignment horizontal="center"/>
      <protection/>
    </xf>
    <xf numFmtId="180" fontId="26" fillId="0" borderId="41" xfId="34" applyNumberFormat="1" applyFont="1" applyFill="1" applyBorder="1">
      <alignment/>
      <protection/>
    </xf>
    <xf numFmtId="180" fontId="26" fillId="0" borderId="54" xfId="34" applyNumberFormat="1" applyFont="1" applyFill="1" applyBorder="1">
      <alignment/>
      <protection/>
    </xf>
    <xf numFmtId="0" fontId="27" fillId="0" borderId="0" xfId="0" applyFont="1" applyFill="1" applyAlignment="1">
      <alignment/>
    </xf>
    <xf numFmtId="49" fontId="25" fillId="0" borderId="30" xfId="34" applyNumberFormat="1" applyFont="1" applyFill="1" applyBorder="1" applyAlignment="1">
      <alignment horizontal="center"/>
      <protection/>
    </xf>
    <xf numFmtId="180" fontId="23" fillId="0" borderId="30" xfId="34" applyNumberFormat="1" applyFont="1" applyFill="1" applyBorder="1">
      <alignment/>
      <protection/>
    </xf>
    <xf numFmtId="180" fontId="23" fillId="0" borderId="12" xfId="34" applyNumberFormat="1" applyFont="1" applyFill="1" applyBorder="1">
      <alignment/>
      <protection/>
    </xf>
    <xf numFmtId="180" fontId="23" fillId="0" borderId="39" xfId="34" applyNumberFormat="1" applyFont="1" applyFill="1" applyBorder="1">
      <alignment/>
      <protection/>
    </xf>
    <xf numFmtId="49" fontId="25" fillId="0" borderId="25" xfId="34" applyNumberFormat="1" applyFont="1" applyFill="1" applyBorder="1" applyAlignment="1">
      <alignment horizontal="center"/>
      <protection/>
    </xf>
    <xf numFmtId="180" fontId="23" fillId="0" borderId="25" xfId="34" applyNumberFormat="1" applyFont="1" applyFill="1" applyBorder="1">
      <alignment/>
      <protection/>
    </xf>
    <xf numFmtId="180" fontId="23" fillId="0" borderId="27" xfId="34" applyNumberFormat="1" applyFont="1" applyFill="1" applyBorder="1">
      <alignment/>
      <protection/>
    </xf>
    <xf numFmtId="180" fontId="23" fillId="0" borderId="33" xfId="34" applyNumberFormat="1" applyFont="1" applyFill="1" applyBorder="1">
      <alignment/>
      <protection/>
    </xf>
    <xf numFmtId="49" fontId="25" fillId="0" borderId="27" xfId="34" applyNumberFormat="1" applyFont="1" applyFill="1" applyBorder="1" applyAlignment="1">
      <alignment horizontal="center"/>
      <protection/>
    </xf>
    <xf numFmtId="49" fontId="25" fillId="0" borderId="55" xfId="34" applyNumberFormat="1" applyFont="1" applyFill="1" applyBorder="1" applyAlignment="1">
      <alignment horizontal="center"/>
      <protection/>
    </xf>
    <xf numFmtId="180" fontId="25" fillId="0" borderId="25" xfId="34" applyNumberFormat="1" applyFont="1" applyFill="1" applyBorder="1">
      <alignment/>
      <protection/>
    </xf>
    <xf numFmtId="180" fontId="25" fillId="0" borderId="33" xfId="34" applyNumberFormat="1" applyFont="1" applyFill="1" applyBorder="1">
      <alignment/>
      <protection/>
    </xf>
    <xf numFmtId="180" fontId="2" fillId="0" borderId="12" xfId="34" applyNumberFormat="1" applyFont="1" applyFill="1" applyBorder="1">
      <alignment/>
      <protection/>
    </xf>
    <xf numFmtId="180" fontId="2" fillId="0" borderId="56" xfId="34" applyNumberFormat="1" applyFont="1" applyFill="1" applyBorder="1">
      <alignment/>
      <protection/>
    </xf>
    <xf numFmtId="180" fontId="2" fillId="0" borderId="11" xfId="34" applyNumberFormat="1" applyFont="1" applyFill="1" applyBorder="1">
      <alignment/>
      <protection/>
    </xf>
    <xf numFmtId="49" fontId="2" fillId="0" borderId="54" xfId="34" applyNumberFormat="1" applyFont="1" applyBorder="1" applyAlignment="1">
      <alignment horizontal="center"/>
      <protection/>
    </xf>
    <xf numFmtId="49" fontId="2" fillId="0" borderId="57" xfId="34" applyNumberFormat="1" applyFont="1" applyBorder="1" applyAlignment="1">
      <alignment horizontal="center"/>
      <protection/>
    </xf>
    <xf numFmtId="49" fontId="2" fillId="0" borderId="29" xfId="34" applyNumberFormat="1" applyFont="1" applyBorder="1" applyAlignment="1">
      <alignment horizontal="center"/>
      <protection/>
    </xf>
    <xf numFmtId="49" fontId="2" fillId="0" borderId="58" xfId="34" applyNumberFormat="1" applyFont="1" applyBorder="1" applyAlignment="1">
      <alignment horizontal="center"/>
      <protection/>
    </xf>
    <xf numFmtId="180" fontId="2" fillId="0" borderId="32" xfId="34" applyNumberFormat="1" applyFont="1" applyBorder="1">
      <alignment/>
      <protection/>
    </xf>
    <xf numFmtId="180" fontId="82" fillId="0" borderId="28" xfId="33" applyNumberFormat="1" applyFont="1" applyFill="1" applyBorder="1">
      <alignment/>
      <protection/>
    </xf>
    <xf numFmtId="180" fontId="82" fillId="0" borderId="15" xfId="33" applyNumberFormat="1" applyFont="1" applyFill="1" applyBorder="1" applyAlignment="1">
      <alignment horizontal="center" vertical="center"/>
      <protection/>
    </xf>
    <xf numFmtId="180" fontId="82" fillId="0" borderId="0" xfId="0" applyNumberFormat="1" applyFont="1" applyFill="1" applyAlignment="1">
      <alignment/>
    </xf>
    <xf numFmtId="180" fontId="82" fillId="0" borderId="47" xfId="33" applyNumberFormat="1" applyFont="1" applyFill="1" applyBorder="1">
      <alignment/>
      <protection/>
    </xf>
    <xf numFmtId="180" fontId="82" fillId="0" borderId="10" xfId="33" applyNumberFormat="1" applyFont="1" applyFill="1" applyBorder="1" applyAlignment="1">
      <alignment horizontal="center" vertical="center"/>
      <protection/>
    </xf>
    <xf numFmtId="1" fontId="4" fillId="0" borderId="26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82" fillId="0" borderId="30" xfId="33" applyNumberFormat="1" applyFont="1" applyFill="1" applyBorder="1">
      <alignment/>
      <protection/>
    </xf>
    <xf numFmtId="180" fontId="82" fillId="32" borderId="13" xfId="33" applyNumberFormat="1" applyFont="1" applyFill="1" applyBorder="1">
      <alignment/>
      <protection/>
    </xf>
    <xf numFmtId="180" fontId="82" fillId="12" borderId="10" xfId="33" applyNumberFormat="1" applyFont="1" applyFill="1" applyBorder="1">
      <alignment/>
      <protection/>
    </xf>
    <xf numFmtId="0" fontId="82" fillId="0" borderId="30" xfId="33" applyNumberFormat="1" applyFont="1" applyFill="1" applyBorder="1">
      <alignment/>
      <protection/>
    </xf>
    <xf numFmtId="2" fontId="82" fillId="32" borderId="13" xfId="33" applyNumberFormat="1" applyFont="1" applyFill="1" applyBorder="1">
      <alignment/>
      <protection/>
    </xf>
    <xf numFmtId="0" fontId="82" fillId="0" borderId="0" xfId="0" applyNumberFormat="1" applyFont="1" applyFill="1" applyAlignment="1">
      <alignment/>
    </xf>
    <xf numFmtId="180" fontId="82" fillId="32" borderId="14" xfId="33" applyNumberFormat="1" applyFont="1" applyFill="1" applyBorder="1">
      <alignment/>
      <protection/>
    </xf>
    <xf numFmtId="180" fontId="82" fillId="12" borderId="15" xfId="33" applyNumberFormat="1" applyFont="1" applyFill="1" applyBorder="1">
      <alignment/>
      <protection/>
    </xf>
    <xf numFmtId="2" fontId="82" fillId="12" borderId="10" xfId="33" applyNumberFormat="1" applyFont="1" applyFill="1" applyBorder="1">
      <alignment/>
      <protection/>
    </xf>
    <xf numFmtId="180" fontId="2" fillId="0" borderId="29" xfId="34" applyNumberFormat="1" applyFont="1" applyBorder="1" applyAlignment="1">
      <alignment horizontal="center" vertical="center" wrapText="1"/>
      <protection/>
    </xf>
    <xf numFmtId="180" fontId="82" fillId="0" borderId="15" xfId="33" applyNumberFormat="1" applyFont="1" applyFill="1" applyBorder="1" applyAlignment="1">
      <alignment horizontal="center" vertical="center" wrapText="1"/>
      <protection/>
    </xf>
    <xf numFmtId="180" fontId="2" fillId="0" borderId="59" xfId="34" applyNumberFormat="1" applyFont="1" applyBorder="1" applyAlignment="1">
      <alignment horizontal="center" vertical="center" wrapText="1"/>
      <protection/>
    </xf>
    <xf numFmtId="180" fontId="2" fillId="0" borderId="11" xfId="34" applyNumberFormat="1" applyFont="1" applyBorder="1">
      <alignment/>
      <protection/>
    </xf>
    <xf numFmtId="180" fontId="2" fillId="0" borderId="54" xfId="34" applyNumberFormat="1" applyFont="1" applyBorder="1">
      <alignment/>
      <protection/>
    </xf>
    <xf numFmtId="180" fontId="2" fillId="0" borderId="12" xfId="34" applyNumberFormat="1" applyFont="1" applyBorder="1">
      <alignment/>
      <protection/>
    </xf>
    <xf numFmtId="0" fontId="11" fillId="0" borderId="30" xfId="34" applyFont="1" applyBorder="1">
      <alignment/>
      <protection/>
    </xf>
    <xf numFmtId="0" fontId="2" fillId="0" borderId="29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80" fontId="18" fillId="0" borderId="34" xfId="34" applyNumberFormat="1" applyFont="1" applyBorder="1" applyAlignment="1">
      <alignment horizontal="center" vertical="center" wrapText="1"/>
      <protection/>
    </xf>
    <xf numFmtId="180" fontId="18" fillId="0" borderId="29" xfId="34" applyNumberFormat="1" applyFont="1" applyBorder="1" applyAlignment="1">
      <alignment horizontal="center" vertical="center" wrapText="1"/>
      <protection/>
    </xf>
    <xf numFmtId="180" fontId="18" fillId="0" borderId="59" xfId="34" applyNumberFormat="1" applyFont="1" applyBorder="1" applyAlignment="1">
      <alignment horizontal="center" vertical="center" wrapText="1"/>
      <protection/>
    </xf>
    <xf numFmtId="0" fontId="11" fillId="0" borderId="28" xfId="34" applyFont="1" applyBorder="1">
      <alignment/>
      <protection/>
    </xf>
    <xf numFmtId="49" fontId="18" fillId="0" borderId="0" xfId="34" applyNumberFormat="1" applyFont="1" applyBorder="1" applyAlignment="1">
      <alignment horizontal="center"/>
      <protection/>
    </xf>
    <xf numFmtId="180" fontId="18" fillId="0" borderId="0" xfId="34" applyNumberFormat="1" applyFont="1" applyBorder="1">
      <alignment/>
      <protection/>
    </xf>
    <xf numFmtId="0" fontId="11" fillId="0" borderId="41" xfId="34" applyFont="1" applyBorder="1">
      <alignment/>
      <protection/>
    </xf>
    <xf numFmtId="0" fontId="11" fillId="0" borderId="50" xfId="34" applyFont="1" applyBorder="1">
      <alignment/>
      <protection/>
    </xf>
    <xf numFmtId="0" fontId="11" fillId="0" borderId="25" xfId="34" applyFont="1" applyBorder="1">
      <alignment/>
      <protection/>
    </xf>
    <xf numFmtId="0" fontId="11" fillId="0" borderId="48" xfId="34" applyFont="1" applyBorder="1">
      <alignment/>
      <protection/>
    </xf>
    <xf numFmtId="0" fontId="29" fillId="0" borderId="28" xfId="34" applyFont="1" applyFill="1" applyBorder="1" applyAlignment="1">
      <alignment wrapText="1"/>
      <protection/>
    </xf>
    <xf numFmtId="0" fontId="21" fillId="0" borderId="25" xfId="34" applyFont="1" applyBorder="1">
      <alignment/>
      <protection/>
    </xf>
    <xf numFmtId="180" fontId="82" fillId="0" borderId="48" xfId="33" applyNumberFormat="1" applyFont="1" applyFill="1" applyBorder="1">
      <alignment/>
      <protection/>
    </xf>
    <xf numFmtId="180" fontId="82" fillId="35" borderId="10" xfId="33" applyNumberFormat="1" applyFont="1" applyFill="1" applyBorder="1">
      <alignment/>
      <protection/>
    </xf>
    <xf numFmtId="180" fontId="81" fillId="34" borderId="32" xfId="33" applyNumberFormat="1" applyFont="1" applyFill="1" applyBorder="1">
      <alignment/>
      <protection/>
    </xf>
    <xf numFmtId="49" fontId="9" fillId="13" borderId="16" xfId="33" applyNumberFormat="1" applyFont="1" applyFill="1" applyBorder="1" applyAlignment="1">
      <alignment horizontal="center" vertical="center" wrapText="1"/>
      <protection/>
    </xf>
    <xf numFmtId="1" fontId="5" fillId="0" borderId="16" xfId="33" applyNumberFormat="1" applyFont="1" applyFill="1" applyBorder="1" applyAlignment="1">
      <alignment horizontal="center" vertical="center"/>
      <protection/>
    </xf>
    <xf numFmtId="1" fontId="5" fillId="0" borderId="17" xfId="33" applyNumberFormat="1" applyFont="1" applyFill="1" applyBorder="1" applyAlignment="1">
      <alignment horizontal="center" vertical="center"/>
      <protection/>
    </xf>
    <xf numFmtId="49" fontId="5" fillId="0" borderId="17" xfId="33" applyNumberFormat="1" applyFont="1" applyFill="1" applyBorder="1" applyAlignment="1">
      <alignment horizontal="center" vertical="center"/>
      <protection/>
    </xf>
    <xf numFmtId="180" fontId="82" fillId="32" borderId="24" xfId="33" applyNumberFormat="1" applyFont="1" applyFill="1" applyBorder="1">
      <alignment/>
      <protection/>
    </xf>
    <xf numFmtId="180" fontId="82" fillId="12" borderId="23" xfId="33" applyNumberFormat="1" applyFont="1" applyFill="1" applyBorder="1">
      <alignment/>
      <protection/>
    </xf>
    <xf numFmtId="180" fontId="12" fillId="0" borderId="25" xfId="33" applyNumberFormat="1" applyFont="1" applyFill="1" applyBorder="1" applyAlignment="1">
      <alignment wrapText="1"/>
      <protection/>
    </xf>
    <xf numFmtId="2" fontId="4" fillId="0" borderId="27" xfId="33" applyNumberFormat="1" applyFont="1" applyFill="1" applyBorder="1" applyAlignment="1">
      <alignment horizontal="center" vertical="center" wrapText="1"/>
      <protection/>
    </xf>
    <xf numFmtId="180" fontId="4" fillId="0" borderId="21" xfId="33" applyNumberFormat="1" applyFont="1" applyFill="1" applyBorder="1" applyAlignment="1">
      <alignment horizontal="center" vertical="center" wrapText="1"/>
      <protection/>
    </xf>
    <xf numFmtId="180" fontId="4" fillId="12" borderId="33" xfId="33" applyNumberFormat="1" applyFont="1" applyFill="1" applyBorder="1" applyAlignment="1">
      <alignment horizontal="center" vertical="center" textRotation="90" wrapText="1"/>
      <protection/>
    </xf>
    <xf numFmtId="180" fontId="82" fillId="12" borderId="46" xfId="33" applyNumberFormat="1" applyFont="1" applyFill="1" applyBorder="1">
      <alignment/>
      <protection/>
    </xf>
    <xf numFmtId="180" fontId="82" fillId="12" borderId="47" xfId="33" applyNumberFormat="1" applyFont="1" applyFill="1" applyBorder="1">
      <alignment/>
      <protection/>
    </xf>
    <xf numFmtId="180" fontId="82" fillId="12" borderId="60" xfId="33" applyNumberFormat="1" applyFont="1" applyFill="1" applyBorder="1">
      <alignment/>
      <protection/>
    </xf>
    <xf numFmtId="180" fontId="82" fillId="0" borderId="13" xfId="33" applyNumberFormat="1" applyFont="1" applyFill="1" applyBorder="1">
      <alignment/>
      <protection/>
    </xf>
    <xf numFmtId="180" fontId="5" fillId="12" borderId="25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80" fontId="4" fillId="0" borderId="17" xfId="33" applyNumberFormat="1" applyFont="1" applyFill="1" applyBorder="1" applyAlignment="1">
      <alignment horizontal="center" vertical="center" wrapText="1"/>
      <protection/>
    </xf>
    <xf numFmtId="180" fontId="4" fillId="0" borderId="14" xfId="33" applyNumberFormat="1" applyFont="1" applyFill="1" applyBorder="1" applyAlignment="1">
      <alignment horizontal="center" vertical="center"/>
      <protection/>
    </xf>
    <xf numFmtId="180" fontId="4" fillId="0" borderId="13" xfId="33" applyNumberFormat="1" applyFont="1" applyFill="1" applyBorder="1" applyAlignment="1">
      <alignment horizontal="center" vertical="center"/>
      <protection/>
    </xf>
    <xf numFmtId="180" fontId="4" fillId="0" borderId="58" xfId="33" applyNumberFormat="1" applyFont="1" applyFill="1" applyBorder="1" applyAlignment="1">
      <alignment horizontal="center" vertical="center"/>
      <protection/>
    </xf>
    <xf numFmtId="180" fontId="79" fillId="0" borderId="31" xfId="33" applyNumberFormat="1" applyFont="1" applyFill="1" applyBorder="1" applyAlignment="1">
      <alignment horizontal="center" vertical="center" wrapText="1"/>
      <protection/>
    </xf>
    <xf numFmtId="180" fontId="4" fillId="0" borderId="20" xfId="33" applyNumberFormat="1" applyFont="1" applyFill="1" applyBorder="1">
      <alignment/>
      <protection/>
    </xf>
    <xf numFmtId="180" fontId="15" fillId="0" borderId="34" xfId="33" applyNumberFormat="1" applyFont="1" applyFill="1" applyBorder="1">
      <alignment/>
      <protection/>
    </xf>
    <xf numFmtId="49" fontId="5" fillId="0" borderId="17" xfId="33" applyNumberFormat="1" applyFont="1" applyFill="1" applyBorder="1" applyAlignment="1">
      <alignment horizontal="center" vertical="center" wrapText="1"/>
      <protection/>
    </xf>
    <xf numFmtId="49" fontId="4" fillId="0" borderId="17" xfId="33" applyNumberFormat="1" applyFont="1" applyFill="1" applyBorder="1" applyAlignment="1">
      <alignment horizontal="center" vertical="center" wrapText="1"/>
      <protection/>
    </xf>
    <xf numFmtId="49" fontId="4" fillId="12" borderId="17" xfId="33" applyNumberFormat="1" applyFont="1" applyFill="1" applyBorder="1" applyAlignment="1">
      <alignment horizontal="center" vertical="center" wrapText="1"/>
      <protection/>
    </xf>
    <xf numFmtId="180" fontId="5" fillId="0" borderId="25" xfId="33" applyNumberFormat="1" applyFont="1" applyFill="1" applyBorder="1" applyAlignment="1">
      <alignment horizontal="center" vertical="center" wrapText="1"/>
      <protection/>
    </xf>
    <xf numFmtId="180" fontId="4" fillId="0" borderId="12" xfId="33" applyNumberFormat="1" applyFont="1" applyFill="1" applyBorder="1">
      <alignment/>
      <protection/>
    </xf>
    <xf numFmtId="180" fontId="5" fillId="0" borderId="16" xfId="33" applyNumberFormat="1" applyFont="1" applyFill="1" applyBorder="1">
      <alignment/>
      <protection/>
    </xf>
    <xf numFmtId="180" fontId="81" fillId="33" borderId="15" xfId="33" applyNumberFormat="1" applyFont="1" applyFill="1" applyBorder="1">
      <alignment/>
      <protection/>
    </xf>
    <xf numFmtId="180" fontId="4" fillId="33" borderId="17" xfId="33" applyNumberFormat="1" applyFont="1" applyFill="1" applyBorder="1" applyAlignment="1">
      <alignment horizontal="center" vertical="center" wrapText="1"/>
      <protection/>
    </xf>
    <xf numFmtId="180" fontId="82" fillId="0" borderId="29" xfId="33" applyNumberFormat="1" applyFont="1" applyFill="1" applyBorder="1">
      <alignment/>
      <protection/>
    </xf>
    <xf numFmtId="180" fontId="5" fillId="12" borderId="17" xfId="33" applyNumberFormat="1" applyFont="1" applyFill="1" applyBorder="1">
      <alignment/>
      <protection/>
    </xf>
    <xf numFmtId="180" fontId="5" fillId="12" borderId="26" xfId="33" applyNumberFormat="1" applyFont="1" applyFill="1" applyBorder="1">
      <alignment/>
      <protection/>
    </xf>
    <xf numFmtId="180" fontId="81" fillId="33" borderId="32" xfId="33" applyNumberFormat="1" applyFont="1" applyFill="1" applyBorder="1">
      <alignment/>
      <protection/>
    </xf>
    <xf numFmtId="180" fontId="4" fillId="13" borderId="58" xfId="33" applyNumberFormat="1" applyFont="1" applyFill="1" applyBorder="1">
      <alignment/>
      <protection/>
    </xf>
    <xf numFmtId="180" fontId="81" fillId="12" borderId="61" xfId="33" applyNumberFormat="1" applyFont="1" applyFill="1" applyBorder="1">
      <alignment/>
      <protection/>
    </xf>
    <xf numFmtId="180" fontId="4" fillId="36" borderId="28" xfId="33" applyNumberFormat="1" applyFont="1" applyFill="1" applyBorder="1">
      <alignment/>
      <protection/>
    </xf>
    <xf numFmtId="180" fontId="8" fillId="0" borderId="0" xfId="33" applyNumberFormat="1" applyFont="1" applyFill="1" applyBorder="1" applyAlignment="1">
      <alignment horizontal="left"/>
      <protection/>
    </xf>
    <xf numFmtId="49" fontId="4" fillId="0" borderId="25" xfId="33" applyNumberFormat="1" applyFont="1" applyFill="1" applyBorder="1" applyAlignment="1">
      <alignment horizontal="center" vertical="center"/>
      <protection/>
    </xf>
    <xf numFmtId="1" fontId="4" fillId="0" borderId="16" xfId="33" applyNumberFormat="1" applyFont="1" applyFill="1" applyBorder="1" applyAlignment="1">
      <alignment horizontal="center" vertical="center" wrapText="1"/>
      <protection/>
    </xf>
    <xf numFmtId="1" fontId="4" fillId="0" borderId="26" xfId="0" applyNumberFormat="1" applyFont="1" applyFill="1" applyBorder="1" applyAlignment="1">
      <alignment horizontal="center" vertical="center" wrapText="1"/>
    </xf>
    <xf numFmtId="180" fontId="79" fillId="0" borderId="61" xfId="33" applyNumberFormat="1" applyFont="1" applyFill="1" applyBorder="1" applyAlignment="1">
      <alignment horizontal="center" vertical="center" wrapText="1"/>
      <protection/>
    </xf>
    <xf numFmtId="180" fontId="80" fillId="0" borderId="32" xfId="33" applyNumberFormat="1" applyFont="1" applyFill="1" applyBorder="1" applyAlignment="1">
      <alignment horizontal="center" vertical="center"/>
      <protection/>
    </xf>
    <xf numFmtId="180" fontId="4" fillId="0" borderId="29" xfId="0" applyNumberFormat="1" applyFont="1" applyFill="1" applyBorder="1" applyAlignment="1">
      <alignment horizontal="center" vertical="center"/>
    </xf>
    <xf numFmtId="180" fontId="79" fillId="0" borderId="55" xfId="33" applyNumberFormat="1" applyFont="1" applyFill="1" applyBorder="1" applyAlignment="1">
      <alignment horizontal="center" vertical="center" wrapText="1"/>
      <protection/>
    </xf>
    <xf numFmtId="180" fontId="80" fillId="0" borderId="46" xfId="33" applyNumberFormat="1" applyFont="1" applyFill="1" applyBorder="1" applyAlignment="1">
      <alignment horizontal="center" vertical="center"/>
      <protection/>
    </xf>
    <xf numFmtId="180" fontId="80" fillId="0" borderId="42" xfId="33" applyNumberFormat="1" applyFont="1" applyFill="1" applyBorder="1" applyAlignment="1">
      <alignment horizontal="center" vertical="center"/>
      <protection/>
    </xf>
    <xf numFmtId="180" fontId="80" fillId="0" borderId="14" xfId="33" applyNumberFormat="1" applyFont="1" applyFill="1" applyBorder="1" applyAlignment="1">
      <alignment horizontal="center" vertical="center" wrapText="1"/>
      <protection/>
    </xf>
    <xf numFmtId="1" fontId="4" fillId="12" borderId="25" xfId="33" applyNumberFormat="1" applyFont="1" applyFill="1" applyBorder="1" applyAlignment="1">
      <alignment horizontal="center" vertical="center" wrapText="1"/>
      <protection/>
    </xf>
    <xf numFmtId="180" fontId="80" fillId="0" borderId="28" xfId="33" applyNumberFormat="1" applyFont="1" applyFill="1" applyBorder="1" applyAlignment="1">
      <alignment horizontal="center" vertical="center" wrapText="1"/>
      <protection/>
    </xf>
    <xf numFmtId="180" fontId="80" fillId="0" borderId="30" xfId="33" applyNumberFormat="1" applyFont="1" applyFill="1" applyBorder="1" applyAlignment="1">
      <alignment horizontal="center" vertical="center" wrapText="1"/>
      <protection/>
    </xf>
    <xf numFmtId="180" fontId="80" fillId="0" borderId="29" xfId="33" applyNumberFormat="1" applyFont="1" applyFill="1" applyBorder="1" applyAlignment="1">
      <alignment horizontal="center" vertical="center" wrapText="1"/>
      <protection/>
    </xf>
    <xf numFmtId="180" fontId="80" fillId="0" borderId="46" xfId="33" applyNumberFormat="1" applyFont="1" applyFill="1" applyBorder="1" applyAlignment="1">
      <alignment horizontal="center" vertical="center" wrapText="1"/>
      <protection/>
    </xf>
    <xf numFmtId="180" fontId="80" fillId="0" borderId="47" xfId="33" applyNumberFormat="1" applyFont="1" applyFill="1" applyBorder="1" applyAlignment="1">
      <alignment horizontal="center" vertical="center" wrapText="1"/>
      <protection/>
    </xf>
    <xf numFmtId="2" fontId="4" fillId="12" borderId="25" xfId="33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center" vertical="center"/>
    </xf>
    <xf numFmtId="180" fontId="79" fillId="0" borderId="28" xfId="33" applyNumberFormat="1" applyFont="1" applyFill="1" applyBorder="1" applyAlignment="1">
      <alignment horizontal="center" vertical="center" wrapText="1"/>
      <protection/>
    </xf>
    <xf numFmtId="180" fontId="79" fillId="0" borderId="30" xfId="33" applyNumberFormat="1" applyFont="1" applyFill="1" applyBorder="1" applyAlignment="1">
      <alignment horizontal="center" vertical="center" wrapText="1"/>
      <protection/>
    </xf>
    <xf numFmtId="180" fontId="79" fillId="0" borderId="29" xfId="33" applyNumberFormat="1" applyFont="1" applyFill="1" applyBorder="1" applyAlignment="1">
      <alignment horizontal="center" vertical="center" wrapText="1"/>
      <protection/>
    </xf>
    <xf numFmtId="180" fontId="4" fillId="0" borderId="11" xfId="33" applyNumberFormat="1" applyFont="1" applyFill="1" applyBorder="1">
      <alignment/>
      <protection/>
    </xf>
    <xf numFmtId="180" fontId="5" fillId="32" borderId="27" xfId="33" applyNumberFormat="1" applyFont="1" applyFill="1" applyBorder="1">
      <alignment/>
      <protection/>
    </xf>
    <xf numFmtId="0" fontId="4" fillId="0" borderId="12" xfId="33" applyNumberFormat="1" applyFont="1" applyFill="1" applyBorder="1">
      <alignment/>
      <protection/>
    </xf>
    <xf numFmtId="180" fontId="4" fillId="0" borderId="56" xfId="33" applyNumberFormat="1" applyFont="1" applyFill="1" applyBorder="1">
      <alignment/>
      <protection/>
    </xf>
    <xf numFmtId="180" fontId="5" fillId="32" borderId="62" xfId="33" applyNumberFormat="1" applyFont="1" applyFill="1" applyBorder="1">
      <alignment/>
      <protection/>
    </xf>
    <xf numFmtId="180" fontId="12" fillId="32" borderId="27" xfId="33" applyNumberFormat="1" applyFont="1" applyFill="1" applyBorder="1">
      <alignment/>
      <protection/>
    </xf>
    <xf numFmtId="1" fontId="4" fillId="0" borderId="18" xfId="33" applyNumberFormat="1" applyFont="1" applyFill="1" applyBorder="1" applyAlignment="1">
      <alignment horizontal="center" vertical="center"/>
      <protection/>
    </xf>
    <xf numFmtId="1" fontId="4" fillId="0" borderId="55" xfId="33" applyNumberFormat="1" applyFont="1" applyFill="1" applyBorder="1" applyAlignment="1">
      <alignment horizontal="center" vertical="center"/>
      <protection/>
    </xf>
    <xf numFmtId="180" fontId="4" fillId="32" borderId="33" xfId="33" applyNumberFormat="1" applyFont="1" applyFill="1" applyBorder="1" applyAlignment="1">
      <alignment horizontal="center" vertical="center" wrapText="1"/>
      <protection/>
    </xf>
    <xf numFmtId="1" fontId="4" fillId="0" borderId="25" xfId="0" applyNumberFormat="1" applyFont="1" applyFill="1" applyBorder="1" applyAlignment="1">
      <alignment horizontal="center" vertical="center" wrapText="1"/>
    </xf>
    <xf numFmtId="0" fontId="10" fillId="0" borderId="57" xfId="34" applyFont="1" applyFill="1" applyBorder="1">
      <alignment/>
      <protection/>
    </xf>
    <xf numFmtId="0" fontId="11" fillId="0" borderId="38" xfId="34" applyFont="1" applyFill="1" applyBorder="1">
      <alignment/>
      <protection/>
    </xf>
    <xf numFmtId="0" fontId="11" fillId="0" borderId="63" xfId="34" applyFont="1" applyFill="1" applyBorder="1">
      <alignment/>
      <protection/>
    </xf>
    <xf numFmtId="0" fontId="23" fillId="0" borderId="21" xfId="34" applyFont="1" applyFill="1" applyBorder="1">
      <alignment/>
      <protection/>
    </xf>
    <xf numFmtId="0" fontId="9" fillId="0" borderId="57" xfId="34" applyFont="1" applyFill="1" applyBorder="1">
      <alignment/>
      <protection/>
    </xf>
    <xf numFmtId="0" fontId="29" fillId="0" borderId="38" xfId="34" applyFont="1" applyFill="1" applyBorder="1" applyAlignment="1">
      <alignment wrapText="1"/>
      <protection/>
    </xf>
    <xf numFmtId="0" fontId="11" fillId="0" borderId="58" xfId="34" applyFont="1" applyFill="1" applyBorder="1">
      <alignment/>
      <protection/>
    </xf>
    <xf numFmtId="0" fontId="11" fillId="0" borderId="21" xfId="34" applyFont="1" applyFill="1" applyBorder="1">
      <alignment/>
      <protection/>
    </xf>
    <xf numFmtId="180" fontId="26" fillId="0" borderId="28" xfId="34" applyNumberFormat="1" applyFont="1" applyFill="1" applyBorder="1">
      <alignment/>
      <protection/>
    </xf>
    <xf numFmtId="180" fontId="20" fillId="0" borderId="30" xfId="34" applyNumberFormat="1" applyFont="1" applyFill="1" applyBorder="1">
      <alignment/>
      <protection/>
    </xf>
    <xf numFmtId="180" fontId="18" fillId="0" borderId="30" xfId="34" applyNumberFormat="1" applyFont="1" applyFill="1" applyBorder="1">
      <alignment/>
      <protection/>
    </xf>
    <xf numFmtId="180" fontId="2" fillId="0" borderId="50" xfId="34" applyNumberFormat="1" applyFont="1" applyFill="1" applyBorder="1">
      <alignment/>
      <protection/>
    </xf>
    <xf numFmtId="0" fontId="2" fillId="0" borderId="29" xfId="0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180" fontId="13" fillId="0" borderId="0" xfId="0" applyNumberFormat="1" applyFont="1" applyAlignment="1">
      <alignment vertical="center"/>
    </xf>
    <xf numFmtId="180" fontId="80" fillId="35" borderId="14" xfId="33" applyNumberFormat="1" applyFont="1" applyFill="1" applyBorder="1" applyAlignment="1">
      <alignment horizontal="center" vertical="center" wrapText="1"/>
      <protection/>
    </xf>
    <xf numFmtId="180" fontId="4" fillId="35" borderId="28" xfId="33" applyNumberFormat="1" applyFont="1" applyFill="1" applyBorder="1" applyAlignment="1">
      <alignment horizontal="center" vertical="center" wrapText="1"/>
      <protection/>
    </xf>
    <xf numFmtId="180" fontId="80" fillId="35" borderId="58" xfId="33" applyNumberFormat="1" applyFont="1" applyFill="1" applyBorder="1" applyAlignment="1">
      <alignment horizontal="center" vertical="center" wrapText="1"/>
      <protection/>
    </xf>
    <xf numFmtId="180" fontId="4" fillId="35" borderId="29" xfId="33" applyNumberFormat="1" applyFont="1" applyFill="1" applyBorder="1" applyAlignment="1">
      <alignment horizontal="center" vertical="center" wrapText="1"/>
      <protection/>
    </xf>
    <xf numFmtId="180" fontId="5" fillId="32" borderId="27" xfId="33" applyNumberFormat="1" applyFont="1" applyFill="1" applyBorder="1" applyAlignment="1">
      <alignment horizontal="center" wrapText="1"/>
      <protection/>
    </xf>
    <xf numFmtId="180" fontId="4" fillId="0" borderId="34" xfId="33" applyNumberFormat="1" applyFont="1" applyFill="1" applyBorder="1">
      <alignment/>
      <protection/>
    </xf>
    <xf numFmtId="180" fontId="5" fillId="32" borderId="62" xfId="33" applyNumberFormat="1" applyFont="1" applyFill="1" applyBorder="1" applyAlignment="1">
      <alignment vertical="center"/>
      <protection/>
    </xf>
    <xf numFmtId="180" fontId="12" fillId="37" borderId="27" xfId="33" applyNumberFormat="1" applyFont="1" applyFill="1" applyBorder="1" applyAlignment="1">
      <alignment vertical="center"/>
      <protection/>
    </xf>
    <xf numFmtId="180" fontId="4" fillId="0" borderId="43" xfId="0" applyNumberFormat="1" applyFont="1" applyFill="1" applyBorder="1" applyAlignment="1">
      <alignment horizontal="center" vertical="center" wrapText="1"/>
    </xf>
    <xf numFmtId="180" fontId="82" fillId="0" borderId="11" xfId="33" applyNumberFormat="1" applyFont="1" applyFill="1" applyBorder="1">
      <alignment/>
      <protection/>
    </xf>
    <xf numFmtId="180" fontId="82" fillId="0" borderId="12" xfId="33" applyNumberFormat="1" applyFont="1" applyFill="1" applyBorder="1">
      <alignment/>
      <protection/>
    </xf>
    <xf numFmtId="180" fontId="83" fillId="33" borderId="18" xfId="33" applyNumberFormat="1" applyFont="1" applyFill="1" applyBorder="1" applyAlignment="1">
      <alignment horizontal="center"/>
      <protection/>
    </xf>
    <xf numFmtId="180" fontId="83" fillId="33" borderId="18" xfId="33" applyNumberFormat="1" applyFont="1" applyFill="1" applyBorder="1" applyAlignment="1">
      <alignment horizontal="center" vertical="center"/>
      <protection/>
    </xf>
    <xf numFmtId="180" fontId="83" fillId="33" borderId="25" xfId="33" applyNumberFormat="1" applyFont="1" applyFill="1" applyBorder="1" applyAlignment="1">
      <alignment horizontal="center" vertical="center"/>
      <protection/>
    </xf>
    <xf numFmtId="180" fontId="83" fillId="33" borderId="25" xfId="33" applyNumberFormat="1" applyFont="1" applyFill="1" applyBorder="1" applyAlignment="1">
      <alignment horizontal="center"/>
      <protection/>
    </xf>
    <xf numFmtId="1" fontId="83" fillId="33" borderId="18" xfId="33" applyNumberFormat="1" applyFont="1" applyFill="1" applyBorder="1" applyAlignment="1">
      <alignment horizontal="center"/>
      <protection/>
    </xf>
    <xf numFmtId="180" fontId="12" fillId="0" borderId="16" xfId="33" applyNumberFormat="1" applyFont="1" applyFill="1" applyBorder="1" applyAlignment="1">
      <alignment horizontal="center"/>
      <protection/>
    </xf>
    <xf numFmtId="180" fontId="12" fillId="0" borderId="33" xfId="33" applyNumberFormat="1" applyFont="1" applyFill="1" applyBorder="1" applyAlignment="1">
      <alignment horizontal="center"/>
      <protection/>
    </xf>
    <xf numFmtId="180" fontId="84" fillId="12" borderId="25" xfId="33" applyNumberFormat="1" applyFont="1" applyFill="1" applyBorder="1" applyAlignment="1">
      <alignment horizontal="center"/>
      <protection/>
    </xf>
    <xf numFmtId="1" fontId="12" fillId="0" borderId="16" xfId="33" applyNumberFormat="1" applyFont="1" applyFill="1" applyBorder="1" applyAlignment="1">
      <alignment horizontal="center"/>
      <protection/>
    </xf>
    <xf numFmtId="180" fontId="12" fillId="0" borderId="25" xfId="33" applyNumberFormat="1" applyFont="1" applyFill="1" applyBorder="1" applyAlignment="1">
      <alignment horizontal="center"/>
      <protection/>
    </xf>
    <xf numFmtId="180" fontId="12" fillId="0" borderId="21" xfId="33" applyNumberFormat="1" applyFont="1" applyFill="1" applyBorder="1" applyAlignment="1">
      <alignment horizontal="center"/>
      <protection/>
    </xf>
    <xf numFmtId="180" fontId="85" fillId="12" borderId="25" xfId="33" applyNumberFormat="1" applyFont="1" applyFill="1" applyBorder="1" applyAlignment="1">
      <alignment horizontal="center"/>
      <protection/>
    </xf>
    <xf numFmtId="180" fontId="5" fillId="0" borderId="16" xfId="33" applyNumberFormat="1" applyFont="1" applyFill="1" applyBorder="1" applyAlignment="1">
      <alignment horizontal="center"/>
      <protection/>
    </xf>
    <xf numFmtId="180" fontId="5" fillId="0" borderId="17" xfId="33" applyNumberFormat="1" applyFont="1" applyFill="1" applyBorder="1" applyAlignment="1">
      <alignment horizontal="center"/>
      <protection/>
    </xf>
    <xf numFmtId="180" fontId="5" fillId="0" borderId="26" xfId="33" applyNumberFormat="1" applyFont="1" applyFill="1" applyBorder="1" applyAlignment="1">
      <alignment horizontal="center"/>
      <protection/>
    </xf>
    <xf numFmtId="180" fontId="5" fillId="0" borderId="55" xfId="33" applyNumberFormat="1" applyFont="1" applyFill="1" applyBorder="1" applyAlignment="1">
      <alignment horizontal="center"/>
      <protection/>
    </xf>
    <xf numFmtId="180" fontId="85" fillId="12" borderId="28" xfId="33" applyNumberFormat="1" applyFont="1" applyFill="1" applyBorder="1" applyAlignment="1">
      <alignment horizontal="center"/>
      <protection/>
    </xf>
    <xf numFmtId="180" fontId="82" fillId="0" borderId="14" xfId="33" applyNumberFormat="1" applyFont="1" applyFill="1" applyBorder="1" applyAlignment="1">
      <alignment horizontal="center"/>
      <protection/>
    </xf>
    <xf numFmtId="180" fontId="82" fillId="0" borderId="15" xfId="33" applyNumberFormat="1" applyFont="1" applyFill="1" applyBorder="1" applyAlignment="1">
      <alignment horizontal="center"/>
      <protection/>
    </xf>
    <xf numFmtId="2" fontId="82" fillId="0" borderId="46" xfId="33" applyNumberFormat="1" applyFont="1" applyFill="1" applyBorder="1" applyAlignment="1">
      <alignment horizontal="center"/>
      <protection/>
    </xf>
    <xf numFmtId="180" fontId="85" fillId="0" borderId="28" xfId="33" applyNumberFormat="1" applyFont="1" applyFill="1" applyBorder="1" applyAlignment="1">
      <alignment horizontal="center"/>
      <protection/>
    </xf>
    <xf numFmtId="180" fontId="82" fillId="0" borderId="13" xfId="33" applyNumberFormat="1" applyFont="1" applyFill="1" applyBorder="1" applyAlignment="1">
      <alignment horizontal="center"/>
      <protection/>
    </xf>
    <xf numFmtId="180" fontId="82" fillId="0" borderId="10" xfId="33" applyNumberFormat="1" applyFont="1" applyFill="1" applyBorder="1" applyAlignment="1">
      <alignment horizontal="center"/>
      <protection/>
    </xf>
    <xf numFmtId="180" fontId="85" fillId="12" borderId="29" xfId="33" applyNumberFormat="1" applyFont="1" applyFill="1" applyBorder="1" applyAlignment="1">
      <alignment horizontal="center"/>
      <protection/>
    </xf>
    <xf numFmtId="180" fontId="82" fillId="0" borderId="24" xfId="33" applyNumberFormat="1" applyFont="1" applyFill="1" applyBorder="1" applyAlignment="1">
      <alignment horizontal="center"/>
      <protection/>
    </xf>
    <xf numFmtId="180" fontId="82" fillId="0" borderId="23" xfId="33" applyNumberFormat="1" applyFont="1" applyFill="1" applyBorder="1" applyAlignment="1">
      <alignment horizontal="center"/>
      <protection/>
    </xf>
    <xf numFmtId="2" fontId="82" fillId="0" borderId="42" xfId="33" applyNumberFormat="1" applyFont="1" applyFill="1" applyBorder="1" applyAlignment="1">
      <alignment horizontal="center"/>
      <protection/>
    </xf>
    <xf numFmtId="180" fontId="85" fillId="0" borderId="29" xfId="33" applyNumberFormat="1" applyFont="1" applyFill="1" applyBorder="1" applyAlignment="1">
      <alignment horizontal="center"/>
      <protection/>
    </xf>
    <xf numFmtId="180" fontId="82" fillId="0" borderId="58" xfId="33" applyNumberFormat="1" applyFont="1" applyFill="1" applyBorder="1" applyAlignment="1">
      <alignment horizontal="center"/>
      <protection/>
    </xf>
    <xf numFmtId="180" fontId="82" fillId="12" borderId="46" xfId="33" applyNumberFormat="1" applyFont="1" applyFill="1" applyBorder="1" applyAlignment="1">
      <alignment horizontal="center"/>
      <protection/>
    </xf>
    <xf numFmtId="180" fontId="82" fillId="12" borderId="47" xfId="33" applyNumberFormat="1" applyFont="1" applyFill="1" applyBorder="1" applyAlignment="1">
      <alignment horizontal="center"/>
      <protection/>
    </xf>
    <xf numFmtId="180" fontId="4" fillId="12" borderId="47" xfId="33" applyNumberFormat="1" applyFont="1" applyFill="1" applyBorder="1" applyAlignment="1">
      <alignment horizontal="center"/>
      <protection/>
    </xf>
    <xf numFmtId="180" fontId="82" fillId="0" borderId="0" xfId="0" applyNumberFormat="1" applyFont="1" applyFill="1" applyAlignment="1">
      <alignment horizontal="center"/>
    </xf>
    <xf numFmtId="180" fontId="82" fillId="35" borderId="47" xfId="33" applyNumberFormat="1" applyFont="1" applyFill="1" applyBorder="1" applyAlignment="1">
      <alignment horizontal="center"/>
      <protection/>
    </xf>
    <xf numFmtId="180" fontId="85" fillId="35" borderId="28" xfId="33" applyNumberFormat="1" applyFont="1" applyFill="1" applyBorder="1" applyAlignment="1">
      <alignment horizontal="center"/>
      <protection/>
    </xf>
    <xf numFmtId="180" fontId="82" fillId="12" borderId="60" xfId="33" applyNumberFormat="1" applyFont="1" applyFill="1" applyBorder="1" applyAlignment="1">
      <alignment horizontal="center"/>
      <protection/>
    </xf>
    <xf numFmtId="180" fontId="82" fillId="0" borderId="32" xfId="33" applyNumberFormat="1" applyFont="1" applyFill="1" applyBorder="1" applyAlignment="1">
      <alignment horizontal="center"/>
      <protection/>
    </xf>
    <xf numFmtId="180" fontId="5" fillId="12" borderId="26" xfId="33" applyNumberFormat="1" applyFont="1" applyFill="1" applyBorder="1" applyAlignment="1">
      <alignment horizontal="center"/>
      <protection/>
    </xf>
    <xf numFmtId="2" fontId="82" fillId="0" borderId="10" xfId="33" applyNumberFormat="1" applyFont="1" applyFill="1" applyBorder="1" applyAlignment="1">
      <alignment horizontal="center"/>
      <protection/>
    </xf>
    <xf numFmtId="0" fontId="82" fillId="0" borderId="10" xfId="33" applyNumberFormat="1" applyFont="1" applyFill="1" applyBorder="1" applyAlignment="1">
      <alignment horizontal="center"/>
      <protection/>
    </xf>
    <xf numFmtId="180" fontId="82" fillId="36" borderId="15" xfId="33" applyNumberFormat="1" applyFont="1" applyFill="1" applyBorder="1" applyAlignment="1">
      <alignment horizontal="center"/>
      <protection/>
    </xf>
    <xf numFmtId="180" fontId="82" fillId="38" borderId="46" xfId="33" applyNumberFormat="1" applyFont="1" applyFill="1" applyBorder="1" applyAlignment="1">
      <alignment horizontal="center"/>
      <protection/>
    </xf>
    <xf numFmtId="180" fontId="82" fillId="0" borderId="31" xfId="33" applyNumberFormat="1" applyFont="1" applyFill="1" applyBorder="1" applyAlignment="1">
      <alignment horizontal="center"/>
      <protection/>
    </xf>
    <xf numFmtId="180" fontId="82" fillId="0" borderId="28" xfId="33" applyNumberFormat="1" applyFont="1" applyFill="1" applyBorder="1" applyAlignment="1">
      <alignment horizontal="center"/>
      <protection/>
    </xf>
    <xf numFmtId="180" fontId="82" fillId="0" borderId="37" xfId="33" applyNumberFormat="1" applyFont="1" applyFill="1" applyBorder="1" applyAlignment="1">
      <alignment horizontal="center"/>
      <protection/>
    </xf>
    <xf numFmtId="180" fontId="82" fillId="0" borderId="46" xfId="33" applyNumberFormat="1" applyFont="1" applyFill="1" applyBorder="1" applyAlignment="1">
      <alignment horizontal="center"/>
      <protection/>
    </xf>
    <xf numFmtId="180" fontId="82" fillId="32" borderId="37" xfId="33" applyNumberFormat="1" applyFont="1" applyFill="1" applyBorder="1" applyAlignment="1">
      <alignment horizontal="center"/>
      <protection/>
    </xf>
    <xf numFmtId="180" fontId="82" fillId="0" borderId="19" xfId="0" applyNumberFormat="1" applyFont="1" applyFill="1" applyBorder="1" applyAlignment="1">
      <alignment horizontal="center"/>
    </xf>
    <xf numFmtId="180" fontId="82" fillId="0" borderId="46" xfId="0" applyNumberFormat="1" applyFont="1" applyFill="1" applyBorder="1" applyAlignment="1">
      <alignment horizontal="center"/>
    </xf>
    <xf numFmtId="180" fontId="82" fillId="0" borderId="11" xfId="0" applyNumberFormat="1" applyFont="1" applyFill="1" applyBorder="1" applyAlignment="1">
      <alignment horizontal="center"/>
    </xf>
    <xf numFmtId="180" fontId="82" fillId="0" borderId="45" xfId="0" applyNumberFormat="1" applyFont="1" applyFill="1" applyBorder="1" applyAlignment="1">
      <alignment horizontal="center"/>
    </xf>
    <xf numFmtId="180" fontId="82" fillId="0" borderId="47" xfId="33" applyNumberFormat="1" applyFont="1" applyFill="1" applyBorder="1" applyAlignment="1">
      <alignment horizontal="center"/>
      <protection/>
    </xf>
    <xf numFmtId="180" fontId="82" fillId="0" borderId="20" xfId="0" applyNumberFormat="1" applyFont="1" applyFill="1" applyBorder="1" applyAlignment="1">
      <alignment horizontal="center"/>
    </xf>
    <xf numFmtId="180" fontId="82" fillId="0" borderId="47" xfId="0" applyNumberFormat="1" applyFont="1" applyFill="1" applyBorder="1" applyAlignment="1">
      <alignment horizontal="center"/>
    </xf>
    <xf numFmtId="180" fontId="82" fillId="0" borderId="12" xfId="0" applyNumberFormat="1" applyFont="1" applyFill="1" applyBorder="1" applyAlignment="1">
      <alignment horizontal="center"/>
    </xf>
    <xf numFmtId="180" fontId="82" fillId="36" borderId="10" xfId="33" applyNumberFormat="1" applyFont="1" applyFill="1" applyBorder="1" applyAlignment="1">
      <alignment horizontal="center"/>
      <protection/>
    </xf>
    <xf numFmtId="180" fontId="82" fillId="0" borderId="45" xfId="33" applyNumberFormat="1" applyFont="1" applyFill="1" applyBorder="1" applyAlignment="1">
      <alignment horizontal="center"/>
      <protection/>
    </xf>
    <xf numFmtId="180" fontId="82" fillId="32" borderId="39" xfId="33" applyNumberFormat="1" applyFont="1" applyFill="1" applyBorder="1" applyAlignment="1">
      <alignment horizontal="center"/>
      <protection/>
    </xf>
    <xf numFmtId="180" fontId="4" fillId="0" borderId="10" xfId="33" applyNumberFormat="1" applyFont="1" applyFill="1" applyBorder="1" applyAlignment="1">
      <alignment horizontal="center"/>
      <protection/>
    </xf>
    <xf numFmtId="180" fontId="4" fillId="0" borderId="47" xfId="33" applyNumberFormat="1" applyFont="1" applyFill="1" applyBorder="1" applyAlignment="1">
      <alignment horizontal="center"/>
      <protection/>
    </xf>
    <xf numFmtId="180" fontId="4" fillId="0" borderId="45" xfId="33" applyNumberFormat="1" applyFont="1" applyFill="1" applyBorder="1" applyAlignment="1">
      <alignment horizontal="center"/>
      <protection/>
    </xf>
    <xf numFmtId="180" fontId="4" fillId="0" borderId="28" xfId="33" applyNumberFormat="1" applyFont="1" applyFill="1" applyBorder="1" applyAlignment="1">
      <alignment horizontal="center"/>
      <protection/>
    </xf>
    <xf numFmtId="180" fontId="4" fillId="0" borderId="37" xfId="33" applyNumberFormat="1" applyFont="1" applyFill="1" applyBorder="1" applyAlignment="1">
      <alignment horizontal="center"/>
      <protection/>
    </xf>
    <xf numFmtId="180" fontId="4" fillId="32" borderId="39" xfId="33" applyNumberFormat="1" applyFont="1" applyFill="1" applyBorder="1" applyAlignment="1">
      <alignment horizontal="center"/>
      <protection/>
    </xf>
    <xf numFmtId="180" fontId="4" fillId="0" borderId="2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32" xfId="33" applyNumberFormat="1" applyFont="1" applyFill="1" applyBorder="1" applyAlignment="1">
      <alignment horizontal="center"/>
      <protection/>
    </xf>
    <xf numFmtId="180" fontId="4" fillId="0" borderId="42" xfId="33" applyNumberFormat="1" applyFont="1" applyFill="1" applyBorder="1" applyAlignment="1">
      <alignment horizontal="center"/>
      <protection/>
    </xf>
    <xf numFmtId="180" fontId="4" fillId="0" borderId="61" xfId="33" applyNumberFormat="1" applyFont="1" applyFill="1" applyBorder="1" applyAlignment="1">
      <alignment horizontal="center"/>
      <protection/>
    </xf>
    <xf numFmtId="180" fontId="4" fillId="0" borderId="0" xfId="33" applyNumberFormat="1" applyFont="1" applyFill="1" applyBorder="1" applyAlignment="1">
      <alignment horizontal="center"/>
      <protection/>
    </xf>
    <xf numFmtId="180" fontId="4" fillId="0" borderId="47" xfId="0" applyNumberFormat="1" applyFont="1" applyFill="1" applyBorder="1" applyAlignment="1">
      <alignment horizontal="center"/>
    </xf>
    <xf numFmtId="180" fontId="82" fillId="0" borderId="64" xfId="0" applyNumberFormat="1" applyFont="1" applyFill="1" applyBorder="1" applyAlignment="1">
      <alignment horizontal="center"/>
    </xf>
    <xf numFmtId="1" fontId="5" fillId="0" borderId="17" xfId="33" applyNumberFormat="1" applyFont="1" applyFill="1" applyBorder="1" applyAlignment="1">
      <alignment horizontal="center"/>
      <protection/>
    </xf>
    <xf numFmtId="180" fontId="5" fillId="0" borderId="25" xfId="33" applyNumberFormat="1" applyFont="1" applyFill="1" applyBorder="1" applyAlignment="1">
      <alignment horizontal="center"/>
      <protection/>
    </xf>
    <xf numFmtId="1" fontId="5" fillId="0" borderId="25" xfId="33" applyNumberFormat="1" applyFont="1" applyFill="1" applyBorder="1" applyAlignment="1">
      <alignment horizontal="center"/>
      <protection/>
    </xf>
    <xf numFmtId="180" fontId="5" fillId="0" borderId="27" xfId="33" applyNumberFormat="1" applyFont="1" applyFill="1" applyBorder="1" applyAlignment="1">
      <alignment horizontal="center"/>
      <protection/>
    </xf>
    <xf numFmtId="180" fontId="4" fillId="0" borderId="15" xfId="33" applyNumberFormat="1" applyFont="1" applyFill="1" applyBorder="1" applyAlignment="1">
      <alignment horizontal="center"/>
      <protection/>
    </xf>
    <xf numFmtId="180" fontId="4" fillId="0" borderId="46" xfId="33" applyNumberFormat="1" applyFont="1" applyFill="1" applyBorder="1" applyAlignment="1">
      <alignment horizontal="center"/>
      <protection/>
    </xf>
    <xf numFmtId="180" fontId="4" fillId="0" borderId="31" xfId="33" applyNumberFormat="1" applyFont="1" applyFill="1" applyBorder="1" applyAlignment="1">
      <alignment horizontal="center"/>
      <protection/>
    </xf>
    <xf numFmtId="180" fontId="4" fillId="32" borderId="37" xfId="33" applyNumberFormat="1" applyFont="1" applyFill="1" applyBorder="1" applyAlignment="1">
      <alignment horizontal="center"/>
      <protection/>
    </xf>
    <xf numFmtId="180" fontId="82" fillId="0" borderId="31" xfId="0" applyNumberFormat="1" applyFont="1" applyFill="1" applyBorder="1" applyAlignment="1">
      <alignment horizontal="center"/>
    </xf>
    <xf numFmtId="180" fontId="4" fillId="0" borderId="23" xfId="33" applyNumberFormat="1" applyFont="1" applyFill="1" applyBorder="1" applyAlignment="1">
      <alignment horizontal="center"/>
      <protection/>
    </xf>
    <xf numFmtId="180" fontId="4" fillId="0" borderId="60" xfId="33" applyNumberFormat="1" applyFont="1" applyFill="1" applyBorder="1" applyAlignment="1">
      <alignment horizontal="center"/>
      <protection/>
    </xf>
    <xf numFmtId="180" fontId="5" fillId="0" borderId="33" xfId="33" applyNumberFormat="1" applyFont="1" applyFill="1" applyBorder="1" applyAlignment="1">
      <alignment horizontal="center"/>
      <protection/>
    </xf>
    <xf numFmtId="180" fontId="4" fillId="0" borderId="29" xfId="33" applyNumberFormat="1" applyFont="1" applyFill="1" applyBorder="1" applyAlignment="1">
      <alignment horizontal="center"/>
      <protection/>
    </xf>
    <xf numFmtId="180" fontId="4" fillId="32" borderId="0" xfId="33" applyNumberFormat="1" applyFont="1" applyFill="1" applyBorder="1" applyAlignment="1">
      <alignment horizontal="center"/>
      <protection/>
    </xf>
    <xf numFmtId="180" fontId="5" fillId="0" borderId="65" xfId="33" applyNumberFormat="1" applyFont="1" applyFill="1" applyBorder="1" applyAlignment="1">
      <alignment horizontal="center"/>
      <protection/>
    </xf>
    <xf numFmtId="180" fontId="5" fillId="0" borderId="66" xfId="33" applyNumberFormat="1" applyFont="1" applyFill="1" applyBorder="1" applyAlignment="1">
      <alignment horizontal="center"/>
      <protection/>
    </xf>
    <xf numFmtId="180" fontId="5" fillId="0" borderId="67" xfId="33" applyNumberFormat="1" applyFont="1" applyFill="1" applyBorder="1" applyAlignment="1">
      <alignment horizontal="center"/>
      <protection/>
    </xf>
    <xf numFmtId="180" fontId="5" fillId="0" borderId="43" xfId="33" applyNumberFormat="1" applyFont="1" applyFill="1" applyBorder="1" applyAlignment="1">
      <alignment horizontal="center"/>
      <protection/>
    </xf>
    <xf numFmtId="180" fontId="5" fillId="0" borderId="35" xfId="33" applyNumberFormat="1" applyFont="1" applyFill="1" applyBorder="1" applyAlignment="1">
      <alignment horizontal="center"/>
      <protection/>
    </xf>
    <xf numFmtId="180" fontId="5" fillId="0" borderId="62" xfId="33" applyNumberFormat="1" applyFont="1" applyFill="1" applyBorder="1" applyAlignment="1">
      <alignment horizontal="center"/>
      <protection/>
    </xf>
    <xf numFmtId="180" fontId="12" fillId="0" borderId="17" xfId="33" applyNumberFormat="1" applyFont="1" applyFill="1" applyBorder="1" applyAlignment="1">
      <alignment horizontal="center"/>
      <protection/>
    </xf>
    <xf numFmtId="1" fontId="12" fillId="0" borderId="17" xfId="33" applyNumberFormat="1" applyFont="1" applyFill="1" applyBorder="1" applyAlignment="1">
      <alignment horizontal="center"/>
      <protection/>
    </xf>
    <xf numFmtId="180" fontId="12" fillId="0" borderId="26" xfId="33" applyNumberFormat="1" applyFont="1" applyFill="1" applyBorder="1" applyAlignment="1">
      <alignment horizontal="center"/>
      <protection/>
    </xf>
    <xf numFmtId="180" fontId="12" fillId="0" borderId="55" xfId="33" applyNumberFormat="1" applyFont="1" applyFill="1" applyBorder="1" applyAlignment="1">
      <alignment horizontal="center"/>
      <protection/>
    </xf>
    <xf numFmtId="1" fontId="12" fillId="0" borderId="25" xfId="33" applyNumberFormat="1" applyFont="1" applyFill="1" applyBorder="1" applyAlignment="1">
      <alignment horizontal="center"/>
      <protection/>
    </xf>
    <xf numFmtId="180" fontId="12" fillId="0" borderId="27" xfId="33" applyNumberFormat="1" applyFont="1" applyFill="1" applyBorder="1" applyAlignment="1">
      <alignment horizontal="center"/>
      <protection/>
    </xf>
    <xf numFmtId="180" fontId="12" fillId="0" borderId="68" xfId="33" applyNumberFormat="1" applyFont="1" applyFill="1" applyBorder="1" applyAlignment="1">
      <alignment horizontal="center"/>
      <protection/>
    </xf>
    <xf numFmtId="180" fontId="82" fillId="0" borderId="19" xfId="33" applyNumberFormat="1" applyFont="1" applyFill="1" applyBorder="1" applyAlignment="1">
      <alignment horizontal="center"/>
      <protection/>
    </xf>
    <xf numFmtId="180" fontId="82" fillId="0" borderId="20" xfId="33" applyNumberFormat="1" applyFont="1" applyFill="1" applyBorder="1" applyAlignment="1">
      <alignment horizontal="center"/>
      <protection/>
    </xf>
    <xf numFmtId="180" fontId="4" fillId="0" borderId="20" xfId="33" applyNumberFormat="1" applyFont="1" applyFill="1" applyBorder="1" applyAlignment="1">
      <alignment horizontal="center"/>
      <protection/>
    </xf>
    <xf numFmtId="180" fontId="4" fillId="0" borderId="69" xfId="33" applyNumberFormat="1" applyFont="1" applyFill="1" applyBorder="1" applyAlignment="1">
      <alignment horizontal="center"/>
      <protection/>
    </xf>
    <xf numFmtId="180" fontId="5" fillId="0" borderId="18" xfId="33" applyNumberFormat="1" applyFont="1" applyFill="1" applyBorder="1" applyAlignment="1">
      <alignment horizontal="center"/>
      <protection/>
    </xf>
    <xf numFmtId="180" fontId="4" fillId="0" borderId="19" xfId="33" applyNumberFormat="1" applyFont="1" applyFill="1" applyBorder="1" applyAlignment="1">
      <alignment horizontal="center"/>
      <protection/>
    </xf>
    <xf numFmtId="180" fontId="4" fillId="0" borderId="22" xfId="33" applyNumberFormat="1" applyFont="1" applyFill="1" applyBorder="1" applyAlignment="1">
      <alignment horizontal="center"/>
      <protection/>
    </xf>
    <xf numFmtId="180" fontId="5" fillId="0" borderId="70" xfId="33" applyNumberFormat="1" applyFont="1" applyFill="1" applyBorder="1" applyAlignment="1">
      <alignment horizontal="center"/>
      <protection/>
    </xf>
    <xf numFmtId="180" fontId="28" fillId="0" borderId="18" xfId="33" applyNumberFormat="1" applyFont="1" applyFill="1" applyBorder="1" applyAlignment="1">
      <alignment horizontal="center"/>
      <protection/>
    </xf>
    <xf numFmtId="180" fontId="80" fillId="0" borderId="19" xfId="33" applyNumberFormat="1" applyFont="1" applyFill="1" applyBorder="1" applyAlignment="1">
      <alignment horizontal="center"/>
      <protection/>
    </xf>
    <xf numFmtId="180" fontId="86" fillId="0" borderId="15" xfId="33" applyNumberFormat="1" applyFont="1" applyFill="1" applyBorder="1" applyAlignment="1">
      <alignment horizontal="center" vertical="center"/>
      <protection/>
    </xf>
    <xf numFmtId="180" fontId="4" fillId="0" borderId="14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0" borderId="46" xfId="0" applyNumberFormat="1" applyFont="1" applyFill="1" applyBorder="1" applyAlignment="1">
      <alignment horizontal="center"/>
    </xf>
    <xf numFmtId="180" fontId="80" fillId="0" borderId="20" xfId="33" applyNumberFormat="1" applyFont="1" applyFill="1" applyBorder="1" applyAlignment="1">
      <alignment horizontal="center"/>
      <protection/>
    </xf>
    <xf numFmtId="180" fontId="86" fillId="0" borderId="10" xfId="33" applyNumberFormat="1" applyFont="1" applyFill="1" applyBorder="1" applyAlignment="1">
      <alignment horizontal="center" vertical="center"/>
      <protection/>
    </xf>
    <xf numFmtId="180" fontId="4" fillId="0" borderId="13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9" fillId="0" borderId="10" xfId="33" applyNumberFormat="1" applyFont="1" applyFill="1" applyBorder="1" applyAlignment="1">
      <alignment horizontal="center" vertical="center"/>
      <protection/>
    </xf>
    <xf numFmtId="180" fontId="87" fillId="0" borderId="10" xfId="33" applyNumberFormat="1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/>
    </xf>
    <xf numFmtId="180" fontId="87" fillId="0" borderId="32" xfId="33" applyNumberFormat="1" applyFont="1" applyFill="1" applyBorder="1" applyAlignment="1">
      <alignment horizontal="center" vertical="center"/>
      <protection/>
    </xf>
    <xf numFmtId="180" fontId="9" fillId="0" borderId="32" xfId="33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180" fontId="79" fillId="0" borderId="18" xfId="33" applyNumberFormat="1" applyFont="1" applyFill="1" applyBorder="1" applyAlignment="1">
      <alignment horizontal="center"/>
      <protection/>
    </xf>
    <xf numFmtId="180" fontId="79" fillId="0" borderId="17" xfId="33" applyNumberFormat="1" applyFont="1" applyFill="1" applyBorder="1" applyAlignment="1">
      <alignment horizontal="center"/>
      <protection/>
    </xf>
    <xf numFmtId="180" fontId="79" fillId="0" borderId="55" xfId="33" applyNumberFormat="1" applyFont="1" applyFill="1" applyBorder="1" applyAlignment="1">
      <alignment horizontal="center"/>
      <protection/>
    </xf>
    <xf numFmtId="180" fontId="79" fillId="0" borderId="16" xfId="33" applyNumberFormat="1" applyFont="1" applyFill="1" applyBorder="1" applyAlignment="1">
      <alignment horizontal="center"/>
      <protection/>
    </xf>
    <xf numFmtId="180" fontId="79" fillId="0" borderId="26" xfId="33" applyNumberFormat="1" applyFont="1" applyFill="1" applyBorder="1" applyAlignment="1">
      <alignment horizontal="center"/>
      <protection/>
    </xf>
    <xf numFmtId="180" fontId="79" fillId="0" borderId="25" xfId="33" applyNumberFormat="1" applyFont="1" applyFill="1" applyBorder="1" applyAlignment="1">
      <alignment horizontal="center"/>
      <protection/>
    </xf>
    <xf numFmtId="180" fontId="2" fillId="33" borderId="19" xfId="33" applyNumberFormat="1" applyFont="1" applyFill="1" applyBorder="1" applyAlignment="1">
      <alignment horizontal="center" vertical="center" wrapText="1"/>
      <protection/>
    </xf>
    <xf numFmtId="180" fontId="2" fillId="33" borderId="15" xfId="33" applyNumberFormat="1" applyFont="1" applyFill="1" applyBorder="1" applyAlignment="1">
      <alignment horizontal="center" vertical="center"/>
      <protection/>
    </xf>
    <xf numFmtId="180" fontId="88" fillId="33" borderId="15" xfId="33" applyNumberFormat="1" applyFont="1" applyFill="1" applyBorder="1" applyAlignment="1">
      <alignment horizontal="center" vertical="center"/>
      <protection/>
    </xf>
    <xf numFmtId="180" fontId="4" fillId="33" borderId="15" xfId="33" applyNumberFormat="1" applyFont="1" applyFill="1" applyBorder="1" applyAlignment="1">
      <alignment horizontal="center"/>
      <protection/>
    </xf>
    <xf numFmtId="180" fontId="4" fillId="0" borderId="14" xfId="33" applyNumberFormat="1" applyFont="1" applyFill="1" applyBorder="1" applyAlignment="1">
      <alignment horizontal="center"/>
      <protection/>
    </xf>
    <xf numFmtId="180" fontId="80" fillId="0" borderId="15" xfId="33" applyNumberFormat="1" applyFont="1" applyFill="1" applyBorder="1" applyAlignment="1">
      <alignment horizontal="center"/>
      <protection/>
    </xf>
    <xf numFmtId="180" fontId="4" fillId="35" borderId="15" xfId="33" applyNumberFormat="1" applyFont="1" applyFill="1" applyBorder="1" applyAlignment="1">
      <alignment horizontal="center"/>
      <protection/>
    </xf>
    <xf numFmtId="180" fontId="4" fillId="35" borderId="46" xfId="33" applyNumberFormat="1" applyFont="1" applyFill="1" applyBorder="1" applyAlignment="1">
      <alignment horizontal="center"/>
      <protection/>
    </xf>
    <xf numFmtId="180" fontId="4" fillId="0" borderId="0" xfId="0" applyNumberFormat="1" applyFont="1" applyFill="1" applyAlignment="1">
      <alignment horizontal="center"/>
    </xf>
    <xf numFmtId="180" fontId="4" fillId="33" borderId="19" xfId="33" applyNumberFormat="1" applyFont="1" applyFill="1" applyBorder="1" applyAlignment="1">
      <alignment horizontal="center"/>
      <protection/>
    </xf>
    <xf numFmtId="180" fontId="4" fillId="0" borderId="13" xfId="33" applyNumberFormat="1" applyFont="1" applyFill="1" applyBorder="1" applyAlignment="1">
      <alignment horizontal="center"/>
      <protection/>
    </xf>
    <xf numFmtId="180" fontId="4" fillId="33" borderId="20" xfId="33" applyNumberFormat="1" applyFont="1" applyFill="1" applyBorder="1" applyAlignment="1">
      <alignment horizontal="center"/>
      <protection/>
    </xf>
    <xf numFmtId="180" fontId="4" fillId="33" borderId="10" xfId="33" applyNumberFormat="1" applyFont="1" applyFill="1" applyBorder="1" applyAlignment="1">
      <alignment horizontal="center"/>
      <protection/>
    </xf>
    <xf numFmtId="180" fontId="4" fillId="33" borderId="22" xfId="33" applyNumberFormat="1" applyFont="1" applyFill="1" applyBorder="1" applyAlignment="1">
      <alignment horizontal="center"/>
      <protection/>
    </xf>
    <xf numFmtId="180" fontId="4" fillId="33" borderId="23" xfId="33" applyNumberFormat="1" applyFont="1" applyFill="1" applyBorder="1" applyAlignment="1">
      <alignment horizontal="center"/>
      <protection/>
    </xf>
    <xf numFmtId="180" fontId="4" fillId="33" borderId="32" xfId="33" applyNumberFormat="1" applyFont="1" applyFill="1" applyBorder="1" applyAlignment="1">
      <alignment horizontal="center"/>
      <protection/>
    </xf>
    <xf numFmtId="180" fontId="88" fillId="33" borderId="32" xfId="33" applyNumberFormat="1" applyFont="1" applyFill="1" applyBorder="1" applyAlignment="1">
      <alignment horizontal="center" vertical="center"/>
      <protection/>
    </xf>
    <xf numFmtId="180" fontId="4" fillId="0" borderId="24" xfId="33" applyNumberFormat="1" applyFont="1" applyFill="1" applyBorder="1" applyAlignment="1">
      <alignment horizontal="center"/>
      <protection/>
    </xf>
    <xf numFmtId="180" fontId="80" fillId="0" borderId="32" xfId="33" applyNumberFormat="1" applyFont="1" applyFill="1" applyBorder="1" applyAlignment="1">
      <alignment horizontal="center"/>
      <protection/>
    </xf>
    <xf numFmtId="180" fontId="4" fillId="35" borderId="32" xfId="33" applyNumberFormat="1" applyFont="1" applyFill="1" applyBorder="1" applyAlignment="1">
      <alignment horizontal="center"/>
      <protection/>
    </xf>
    <xf numFmtId="180" fontId="4" fillId="35" borderId="42" xfId="33" applyNumberFormat="1" applyFont="1" applyFill="1" applyBorder="1" applyAlignment="1">
      <alignment horizontal="center"/>
      <protection/>
    </xf>
    <xf numFmtId="180" fontId="4" fillId="0" borderId="24" xfId="0" applyNumberFormat="1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180" fontId="4" fillId="0" borderId="60" xfId="0" applyNumberFormat="1" applyFont="1" applyFill="1" applyBorder="1" applyAlignment="1">
      <alignment horizontal="center"/>
    </xf>
    <xf numFmtId="180" fontId="79" fillId="33" borderId="18" xfId="33" applyNumberFormat="1" applyFont="1" applyFill="1" applyBorder="1" applyAlignment="1">
      <alignment horizontal="center"/>
      <protection/>
    </xf>
    <xf numFmtId="180" fontId="79" fillId="33" borderId="25" xfId="33" applyNumberFormat="1" applyFont="1" applyFill="1" applyBorder="1" applyAlignment="1">
      <alignment horizontal="center"/>
      <protection/>
    </xf>
    <xf numFmtId="180" fontId="79" fillId="33" borderId="16" xfId="33" applyNumberFormat="1" applyFont="1" applyFill="1" applyBorder="1" applyAlignment="1">
      <alignment horizontal="center"/>
      <protection/>
    </xf>
    <xf numFmtId="180" fontId="79" fillId="33" borderId="27" xfId="33" applyNumberFormat="1" applyFont="1" applyFill="1" applyBorder="1" applyAlignment="1">
      <alignment horizontal="center"/>
      <protection/>
    </xf>
    <xf numFmtId="180" fontId="79" fillId="35" borderId="16" xfId="33" applyNumberFormat="1" applyFont="1" applyFill="1" applyBorder="1" applyAlignment="1">
      <alignment horizontal="center"/>
      <protection/>
    </xf>
    <xf numFmtId="180" fontId="79" fillId="35" borderId="18" xfId="33" applyNumberFormat="1" applyFont="1" applyFill="1" applyBorder="1" applyAlignment="1">
      <alignment horizontal="center"/>
      <protection/>
    </xf>
    <xf numFmtId="180" fontId="79" fillId="35" borderId="27" xfId="33" applyNumberFormat="1" applyFont="1" applyFill="1" applyBorder="1" applyAlignment="1">
      <alignment horizontal="center"/>
      <protection/>
    </xf>
    <xf numFmtId="180" fontId="79" fillId="35" borderId="25" xfId="33" applyNumberFormat="1" applyFont="1" applyFill="1" applyBorder="1" applyAlignment="1">
      <alignment horizontal="center"/>
      <protection/>
    </xf>
    <xf numFmtId="180" fontId="83" fillId="0" borderId="33" xfId="33" applyNumberFormat="1" applyFont="1" applyFill="1" applyBorder="1" applyAlignment="1">
      <alignment horizontal="center"/>
      <protection/>
    </xf>
    <xf numFmtId="180" fontId="83" fillId="0" borderId="27" xfId="33" applyNumberFormat="1" applyFont="1" applyFill="1" applyBorder="1" applyAlignment="1">
      <alignment horizontal="center"/>
      <protection/>
    </xf>
    <xf numFmtId="180" fontId="83" fillId="0" borderId="25" xfId="33" applyNumberFormat="1" applyFont="1" applyFill="1" applyBorder="1" applyAlignment="1">
      <alignment horizontal="center"/>
      <protection/>
    </xf>
    <xf numFmtId="180" fontId="5" fillId="0" borderId="0" xfId="0" applyNumberFormat="1" applyFont="1" applyFill="1" applyAlignment="1">
      <alignment horizontal="center"/>
    </xf>
    <xf numFmtId="180" fontId="83" fillId="35" borderId="18" xfId="33" applyNumberFormat="1" applyFont="1" applyFill="1" applyBorder="1" applyAlignment="1">
      <alignment horizontal="center"/>
      <protection/>
    </xf>
    <xf numFmtId="180" fontId="83" fillId="35" borderId="27" xfId="33" applyNumberFormat="1" applyFont="1" applyFill="1" applyBorder="1" applyAlignment="1">
      <alignment horizontal="center"/>
      <protection/>
    </xf>
    <xf numFmtId="180" fontId="83" fillId="35" borderId="25" xfId="33" applyNumberFormat="1" applyFont="1" applyFill="1" applyBorder="1" applyAlignment="1">
      <alignment horizontal="center"/>
      <protection/>
    </xf>
    <xf numFmtId="180" fontId="79" fillId="33" borderId="70" xfId="33" applyNumberFormat="1" applyFont="1" applyFill="1" applyBorder="1" applyAlignment="1">
      <alignment horizontal="center" vertical="center"/>
      <protection/>
    </xf>
    <xf numFmtId="180" fontId="79" fillId="33" borderId="43" xfId="33" applyNumberFormat="1" applyFont="1" applyFill="1" applyBorder="1" applyAlignment="1">
      <alignment horizontal="center" vertical="center"/>
      <protection/>
    </xf>
    <xf numFmtId="180" fontId="79" fillId="33" borderId="71" xfId="33" applyNumberFormat="1" applyFont="1" applyFill="1" applyBorder="1" applyAlignment="1">
      <alignment horizontal="center" vertical="center"/>
      <protection/>
    </xf>
    <xf numFmtId="180" fontId="79" fillId="33" borderId="62" xfId="33" applyNumberFormat="1" applyFont="1" applyFill="1" applyBorder="1" applyAlignment="1">
      <alignment horizontal="center" vertical="center"/>
      <protection/>
    </xf>
    <xf numFmtId="180" fontId="79" fillId="35" borderId="71" xfId="33" applyNumberFormat="1" applyFont="1" applyFill="1" applyBorder="1" applyAlignment="1">
      <alignment horizontal="center" vertical="center"/>
      <protection/>
    </xf>
    <xf numFmtId="180" fontId="79" fillId="35" borderId="70" xfId="33" applyNumberFormat="1" applyFont="1" applyFill="1" applyBorder="1" applyAlignment="1">
      <alignment horizontal="center" vertical="center"/>
      <protection/>
    </xf>
    <xf numFmtId="180" fontId="79" fillId="35" borderId="62" xfId="33" applyNumberFormat="1" applyFont="1" applyFill="1" applyBorder="1" applyAlignment="1">
      <alignment horizontal="center" vertical="center"/>
      <protection/>
    </xf>
    <xf numFmtId="180" fontId="83" fillId="35" borderId="43" xfId="33" applyNumberFormat="1" applyFont="1" applyFill="1" applyBorder="1" applyAlignment="1">
      <alignment horizontal="center" vertical="center"/>
      <protection/>
    </xf>
    <xf numFmtId="180" fontId="83" fillId="33" borderId="43" xfId="33" applyNumberFormat="1" applyFont="1" applyFill="1" applyBorder="1" applyAlignment="1">
      <alignment horizontal="center" vertical="center"/>
      <protection/>
    </xf>
    <xf numFmtId="180" fontId="83" fillId="0" borderId="35" xfId="33" applyNumberFormat="1" applyFont="1" applyFill="1" applyBorder="1" applyAlignment="1">
      <alignment horizontal="center" vertical="center"/>
      <protection/>
    </xf>
    <xf numFmtId="180" fontId="83" fillId="0" borderId="62" xfId="33" applyNumberFormat="1" applyFont="1" applyFill="1" applyBorder="1" applyAlignment="1">
      <alignment horizontal="center" vertical="center"/>
      <protection/>
    </xf>
    <xf numFmtId="180" fontId="83" fillId="0" borderId="43" xfId="33" applyNumberFormat="1" applyFont="1" applyFill="1" applyBorder="1" applyAlignment="1">
      <alignment horizontal="center" vertical="center"/>
      <protection/>
    </xf>
    <xf numFmtId="180" fontId="5" fillId="0" borderId="0" xfId="0" applyNumberFormat="1" applyFont="1" applyFill="1" applyAlignment="1">
      <alignment horizontal="center" vertical="center"/>
    </xf>
    <xf numFmtId="180" fontId="89" fillId="37" borderId="18" xfId="0" applyNumberFormat="1" applyFont="1" applyFill="1" applyBorder="1" applyAlignment="1" quotePrefix="1">
      <alignment horizontal="center" vertical="center"/>
    </xf>
    <xf numFmtId="180" fontId="89" fillId="37" borderId="17" xfId="0" applyNumberFormat="1" applyFont="1" applyFill="1" applyBorder="1" applyAlignment="1" quotePrefix="1">
      <alignment horizontal="center" vertical="center"/>
    </xf>
    <xf numFmtId="180" fontId="89" fillId="37" borderId="55" xfId="0" applyNumberFormat="1" applyFont="1" applyFill="1" applyBorder="1" applyAlignment="1" quotePrefix="1">
      <alignment horizontal="center" vertical="center"/>
    </xf>
    <xf numFmtId="180" fontId="89" fillId="37" borderId="16" xfId="0" applyNumberFormat="1" applyFont="1" applyFill="1" applyBorder="1" applyAlignment="1" quotePrefix="1">
      <alignment horizontal="center" vertical="center"/>
    </xf>
    <xf numFmtId="1" fontId="89" fillId="37" borderId="17" xfId="0" applyNumberFormat="1" applyFont="1" applyFill="1" applyBorder="1" applyAlignment="1" quotePrefix="1">
      <alignment horizontal="center" vertical="center"/>
    </xf>
    <xf numFmtId="180" fontId="90" fillId="37" borderId="17" xfId="0" applyNumberFormat="1" applyFont="1" applyFill="1" applyBorder="1" applyAlignment="1" quotePrefix="1">
      <alignment horizontal="center" vertical="center"/>
    </xf>
    <xf numFmtId="180" fontId="89" fillId="37" borderId="26" xfId="0" applyNumberFormat="1" applyFont="1" applyFill="1" applyBorder="1" applyAlignment="1" quotePrefix="1">
      <alignment horizontal="center" vertical="center"/>
    </xf>
    <xf numFmtId="180" fontId="89" fillId="37" borderId="25" xfId="0" applyNumberFormat="1" applyFont="1" applyFill="1" applyBorder="1" applyAlignment="1" quotePrefix="1">
      <alignment horizontal="center" vertical="center"/>
    </xf>
    <xf numFmtId="1" fontId="91" fillId="37" borderId="25" xfId="0" applyNumberFormat="1" applyFont="1" applyFill="1" applyBorder="1" applyAlignment="1" quotePrefix="1">
      <alignment horizontal="center" vertical="center"/>
    </xf>
    <xf numFmtId="180" fontId="91" fillId="37" borderId="25" xfId="0" applyNumberFormat="1" applyFont="1" applyFill="1" applyBorder="1" applyAlignment="1" quotePrefix="1">
      <alignment horizontal="center" vertical="center"/>
    </xf>
    <xf numFmtId="180" fontId="83" fillId="37" borderId="33" xfId="33" applyNumberFormat="1" applyFont="1" applyFill="1" applyBorder="1" applyAlignment="1">
      <alignment horizontal="center" vertical="center"/>
      <protection/>
    </xf>
    <xf numFmtId="180" fontId="83" fillId="37" borderId="27" xfId="33" applyNumberFormat="1" applyFont="1" applyFill="1" applyBorder="1" applyAlignment="1">
      <alignment horizontal="center" vertical="center"/>
      <protection/>
    </xf>
    <xf numFmtId="180" fontId="83" fillId="37" borderId="25" xfId="33" applyNumberFormat="1" applyFont="1" applyFill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center" vertical="center"/>
    </xf>
    <xf numFmtId="0" fontId="11" fillId="0" borderId="0" xfId="34" applyFont="1" applyBorder="1">
      <alignment/>
      <protection/>
    </xf>
    <xf numFmtId="1" fontId="79" fillId="0" borderId="17" xfId="33" applyNumberFormat="1" applyFont="1" applyFill="1" applyBorder="1" applyAlignment="1">
      <alignment horizontal="center"/>
      <protection/>
    </xf>
    <xf numFmtId="1" fontId="89" fillId="37" borderId="26" xfId="0" applyNumberFormat="1" applyFont="1" applyFill="1" applyBorder="1" applyAlignment="1" quotePrefix="1">
      <alignment horizontal="center" vertical="center"/>
    </xf>
    <xf numFmtId="1" fontId="79" fillId="0" borderId="26" xfId="33" applyNumberFormat="1" applyFont="1" applyFill="1" applyBorder="1" applyAlignment="1">
      <alignment horizontal="center"/>
      <protection/>
    </xf>
    <xf numFmtId="180" fontId="5" fillId="0" borderId="37" xfId="33" applyNumberFormat="1" applyFont="1" applyFill="1" applyBorder="1" applyAlignment="1">
      <alignment horizontal="left"/>
      <protection/>
    </xf>
    <xf numFmtId="2" fontId="8" fillId="0" borderId="27" xfId="33" applyNumberFormat="1" applyFont="1" applyFill="1" applyBorder="1" applyAlignment="1">
      <alignment horizontal="center" vertical="center"/>
      <protection/>
    </xf>
    <xf numFmtId="2" fontId="8" fillId="0" borderId="33" xfId="33" applyNumberFormat="1" applyFont="1" applyFill="1" applyBorder="1" applyAlignment="1">
      <alignment horizontal="center" vertical="center"/>
      <protection/>
    </xf>
    <xf numFmtId="2" fontId="8" fillId="0" borderId="21" xfId="33" applyNumberFormat="1" applyFont="1" applyFill="1" applyBorder="1" applyAlignment="1">
      <alignment horizontal="center" vertical="center"/>
      <protection/>
    </xf>
    <xf numFmtId="180" fontId="8" fillId="0" borderId="0" xfId="33" applyNumberFormat="1" applyFont="1" applyFill="1" applyBorder="1" applyAlignment="1">
      <alignment horizontal="left"/>
      <protection/>
    </xf>
    <xf numFmtId="180" fontId="4" fillId="0" borderId="62" xfId="33" applyNumberFormat="1" applyFont="1" applyFill="1" applyBorder="1" applyAlignment="1">
      <alignment horizontal="center" vertical="center"/>
      <protection/>
    </xf>
    <xf numFmtId="180" fontId="4" fillId="0" borderId="35" xfId="33" applyNumberFormat="1" applyFont="1" applyFill="1" applyBorder="1" applyAlignment="1">
      <alignment horizontal="center" vertical="center"/>
      <protection/>
    </xf>
    <xf numFmtId="180" fontId="4" fillId="0" borderId="72" xfId="33" applyNumberFormat="1" applyFont="1" applyFill="1" applyBorder="1" applyAlignment="1">
      <alignment horizontal="center" vertical="center"/>
      <protection/>
    </xf>
    <xf numFmtId="180" fontId="8" fillId="0" borderId="43" xfId="33" applyNumberFormat="1" applyFont="1" applyFill="1" applyBorder="1" applyAlignment="1">
      <alignment horizontal="center"/>
      <protection/>
    </xf>
    <xf numFmtId="180" fontId="8" fillId="0" borderId="44" xfId="33" applyNumberFormat="1" applyFont="1" applyFill="1" applyBorder="1" applyAlignment="1">
      <alignment horizontal="center"/>
      <protection/>
    </xf>
    <xf numFmtId="180" fontId="8" fillId="0" borderId="35" xfId="33" applyNumberFormat="1" applyFont="1" applyFill="1" applyBorder="1" applyAlignment="1">
      <alignment horizontal="center" vertical="center" wrapText="1"/>
      <protection/>
    </xf>
    <xf numFmtId="180" fontId="8" fillId="0" borderId="72" xfId="33" applyNumberFormat="1" applyFont="1" applyFill="1" applyBorder="1" applyAlignment="1">
      <alignment horizontal="center" vertical="center" wrapText="1"/>
      <protection/>
    </xf>
    <xf numFmtId="180" fontId="8" fillId="0" borderId="27" xfId="33" applyNumberFormat="1" applyFont="1" applyFill="1" applyBorder="1" applyAlignment="1">
      <alignment horizontal="center" vertical="center"/>
      <protection/>
    </xf>
    <xf numFmtId="180" fontId="8" fillId="0" borderId="33" xfId="33" applyNumberFormat="1" applyFont="1" applyFill="1" applyBorder="1" applyAlignment="1">
      <alignment horizontal="center" vertical="center"/>
      <protection/>
    </xf>
    <xf numFmtId="180" fontId="8" fillId="0" borderId="21" xfId="33" applyNumberFormat="1" applyFont="1" applyFill="1" applyBorder="1" applyAlignment="1">
      <alignment horizontal="center" vertical="center"/>
      <protection/>
    </xf>
    <xf numFmtId="0" fontId="7" fillId="0" borderId="54" xfId="34" applyFont="1" applyBorder="1" applyAlignment="1">
      <alignment horizontal="left"/>
      <protection/>
    </xf>
    <xf numFmtId="0" fontId="7" fillId="0" borderId="40" xfId="34" applyFont="1" applyBorder="1" applyAlignment="1">
      <alignment horizontal="left"/>
      <protection/>
    </xf>
    <xf numFmtId="0" fontId="7" fillId="0" borderId="57" xfId="34" applyFont="1" applyBorder="1" applyAlignment="1">
      <alignment horizontal="left"/>
      <protection/>
    </xf>
    <xf numFmtId="0" fontId="2" fillId="0" borderId="12" xfId="34" applyFont="1" applyBorder="1" applyAlignment="1">
      <alignment/>
      <protection/>
    </xf>
    <xf numFmtId="0" fontId="2" fillId="0" borderId="39" xfId="34" applyFont="1" applyBorder="1" applyAlignment="1">
      <alignment/>
      <protection/>
    </xf>
    <xf numFmtId="0" fontId="2" fillId="0" borderId="38" xfId="34" applyFont="1" applyBorder="1" applyAlignment="1">
      <alignment/>
      <protection/>
    </xf>
    <xf numFmtId="49" fontId="18" fillId="0" borderId="18" xfId="34" applyNumberFormat="1" applyFont="1" applyBorder="1" applyAlignment="1">
      <alignment horizontal="center"/>
      <protection/>
    </xf>
    <xf numFmtId="49" fontId="18" fillId="0" borderId="17" xfId="34" applyNumberFormat="1" applyFont="1" applyBorder="1" applyAlignment="1">
      <alignment horizontal="center"/>
      <protection/>
    </xf>
    <xf numFmtId="0" fontId="2" fillId="0" borderId="34" xfId="34" applyFont="1" applyBorder="1" applyAlignment="1">
      <alignment/>
      <protection/>
    </xf>
    <xf numFmtId="0" fontId="2" fillId="0" borderId="0" xfId="34" applyFont="1" applyBorder="1" applyAlignment="1">
      <alignment/>
      <protection/>
    </xf>
    <xf numFmtId="49" fontId="2" fillId="0" borderId="20" xfId="34" applyNumberFormat="1" applyFont="1" applyBorder="1" applyAlignment="1">
      <alignment wrapText="1"/>
      <protection/>
    </xf>
    <xf numFmtId="49" fontId="2" fillId="0" borderId="10" xfId="34" applyNumberFormat="1" applyFont="1" applyBorder="1" applyAlignment="1">
      <alignment wrapText="1"/>
      <protection/>
    </xf>
    <xf numFmtId="49" fontId="2" fillId="0" borderId="45" xfId="34" applyNumberFormat="1" applyFont="1" applyBorder="1" applyAlignment="1">
      <alignment wrapText="1"/>
      <protection/>
    </xf>
    <xf numFmtId="0" fontId="18" fillId="0" borderId="27" xfId="34" applyFont="1" applyBorder="1" applyAlignment="1">
      <alignment horizontal="center" vertical="center"/>
      <protection/>
    </xf>
    <xf numFmtId="0" fontId="18" fillId="0" borderId="33" xfId="34" applyFont="1" applyBorder="1" applyAlignment="1">
      <alignment horizontal="center" vertical="center"/>
      <protection/>
    </xf>
    <xf numFmtId="0" fontId="18" fillId="0" borderId="21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/>
      <protection/>
    </xf>
    <xf numFmtId="0" fontId="2" fillId="0" borderId="10" xfId="34" applyFont="1" applyBorder="1" applyAlignment="1">
      <alignment/>
      <protection/>
    </xf>
    <xf numFmtId="0" fontId="2" fillId="0" borderId="45" xfId="34" applyFont="1" applyBorder="1" applyAlignment="1">
      <alignment/>
      <protection/>
    </xf>
    <xf numFmtId="0" fontId="20" fillId="0" borderId="18" xfId="34" applyFont="1" applyBorder="1" applyAlignment="1">
      <alignment horizontal="left"/>
      <protection/>
    </xf>
    <xf numFmtId="0" fontId="20" fillId="0" borderId="17" xfId="34" applyFont="1" applyBorder="1" applyAlignment="1">
      <alignment horizontal="left"/>
      <protection/>
    </xf>
    <xf numFmtId="0" fontId="20" fillId="0" borderId="55" xfId="34" applyFont="1" applyBorder="1" applyAlignment="1">
      <alignment horizontal="left"/>
      <protection/>
    </xf>
    <xf numFmtId="49" fontId="2" fillId="0" borderId="12" xfId="34" applyNumberFormat="1" applyFont="1" applyBorder="1" applyAlignment="1">
      <alignment wrapText="1"/>
      <protection/>
    </xf>
    <xf numFmtId="49" fontId="2" fillId="0" borderId="39" xfId="34" applyNumberFormat="1" applyFont="1" applyBorder="1" applyAlignment="1">
      <alignment wrapText="1"/>
      <protection/>
    </xf>
    <xf numFmtId="49" fontId="2" fillId="0" borderId="38" xfId="34" applyNumberFormat="1" applyFont="1" applyBorder="1" applyAlignment="1">
      <alignment wrapText="1"/>
      <protection/>
    </xf>
    <xf numFmtId="0" fontId="2" fillId="0" borderId="12" xfId="34" applyFont="1" applyBorder="1" applyAlignment="1">
      <alignment wrapText="1"/>
      <protection/>
    </xf>
    <xf numFmtId="0" fontId="2" fillId="0" borderId="39" xfId="34" applyFont="1" applyBorder="1" applyAlignment="1">
      <alignment wrapText="1"/>
      <protection/>
    </xf>
    <xf numFmtId="0" fontId="2" fillId="0" borderId="38" xfId="34" applyFont="1" applyBorder="1" applyAlignment="1">
      <alignment wrapText="1"/>
      <protection/>
    </xf>
    <xf numFmtId="180" fontId="2" fillId="0" borderId="16" xfId="34" applyNumberFormat="1" applyFont="1" applyFill="1" applyBorder="1" applyAlignment="1">
      <alignment horizontal="center" vertical="center"/>
      <protection/>
    </xf>
    <xf numFmtId="180" fontId="2" fillId="0" borderId="26" xfId="34" applyNumberFormat="1" applyFont="1" applyFill="1" applyBorder="1" applyAlignment="1">
      <alignment horizontal="center" vertical="center"/>
      <protection/>
    </xf>
    <xf numFmtId="0" fontId="17" fillId="0" borderId="59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49" fontId="19" fillId="0" borderId="18" xfId="34" applyNumberFormat="1" applyFont="1" applyBorder="1" applyAlignment="1">
      <alignment horizontal="center"/>
      <protection/>
    </xf>
    <xf numFmtId="49" fontId="19" fillId="0" borderId="17" xfId="34" applyNumberFormat="1" applyFont="1" applyBorder="1" applyAlignment="1">
      <alignment horizontal="center"/>
      <protection/>
    </xf>
    <xf numFmtId="49" fontId="19" fillId="0" borderId="55" xfId="34" applyNumberFormat="1" applyFont="1" applyBorder="1" applyAlignment="1">
      <alignment horizontal="center"/>
      <protection/>
    </xf>
    <xf numFmtId="49" fontId="20" fillId="0" borderId="27" xfId="34" applyNumberFormat="1" applyFont="1" applyBorder="1" applyAlignment="1">
      <alignment horizontal="center" wrapText="1"/>
      <protection/>
    </xf>
    <xf numFmtId="49" fontId="20" fillId="0" borderId="33" xfId="34" applyNumberFormat="1" applyFont="1" applyBorder="1" applyAlignment="1">
      <alignment horizontal="center" wrapText="1"/>
      <protection/>
    </xf>
    <xf numFmtId="49" fontId="20" fillId="0" borderId="21" xfId="34" applyNumberFormat="1" applyFont="1" applyBorder="1" applyAlignment="1">
      <alignment horizontal="center" wrapText="1"/>
      <protection/>
    </xf>
    <xf numFmtId="49" fontId="2" fillId="0" borderId="19" xfId="34" applyNumberFormat="1" applyFont="1" applyBorder="1" applyAlignment="1">
      <alignment wrapText="1"/>
      <protection/>
    </xf>
    <xf numFmtId="49" fontId="2" fillId="0" borderId="15" xfId="34" applyNumberFormat="1" applyFont="1" applyBorder="1" applyAlignment="1">
      <alignment wrapText="1"/>
      <protection/>
    </xf>
    <xf numFmtId="49" fontId="2" fillId="0" borderId="31" xfId="34" applyNumberFormat="1" applyFont="1" applyBorder="1" applyAlignment="1">
      <alignment wrapText="1"/>
      <protection/>
    </xf>
    <xf numFmtId="180" fontId="2" fillId="0" borderId="43" xfId="34" applyNumberFormat="1" applyFont="1" applyBorder="1" applyAlignment="1">
      <alignment horizontal="center" vertical="center" wrapText="1"/>
      <protection/>
    </xf>
    <xf numFmtId="180" fontId="2" fillId="0" borderId="44" xfId="34" applyNumberFormat="1" applyFont="1" applyBorder="1" applyAlignment="1">
      <alignment horizontal="center" vertical="center" wrapText="1"/>
      <protection/>
    </xf>
    <xf numFmtId="0" fontId="11" fillId="0" borderId="43" xfId="34" applyFont="1" applyFill="1" applyBorder="1" applyAlignment="1">
      <alignment horizontal="center" vertical="center" wrapText="1"/>
      <protection/>
    </xf>
    <xf numFmtId="0" fontId="11" fillId="0" borderId="44" xfId="34" applyFont="1" applyFill="1" applyBorder="1" applyAlignment="1">
      <alignment horizontal="center" vertical="center" wrapText="1"/>
      <protection/>
    </xf>
    <xf numFmtId="180" fontId="2" fillId="0" borderId="62" xfId="34" applyNumberFormat="1" applyFont="1" applyBorder="1" applyAlignment="1">
      <alignment horizontal="center" vertical="center" wrapText="1"/>
      <protection/>
    </xf>
    <xf numFmtId="180" fontId="2" fillId="0" borderId="59" xfId="34" applyNumberFormat="1" applyFont="1" applyBorder="1" applyAlignment="1">
      <alignment horizontal="center" vertical="center" wrapText="1"/>
      <protection/>
    </xf>
    <xf numFmtId="0" fontId="2" fillId="0" borderId="43" xfId="34" applyFont="1" applyBorder="1" applyAlignment="1">
      <alignment horizontal="center" vertical="center" wrapText="1"/>
      <protection/>
    </xf>
    <xf numFmtId="0" fontId="2" fillId="0" borderId="44" xfId="34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75" xfId="34" applyFont="1" applyBorder="1" applyAlignment="1">
      <alignment horizontal="center" vertical="center"/>
      <protection/>
    </xf>
    <xf numFmtId="0" fontId="18" fillId="0" borderId="76" xfId="34" applyFont="1" applyBorder="1" applyAlignment="1">
      <alignment horizontal="center" vertical="center"/>
      <protection/>
    </xf>
    <xf numFmtId="0" fontId="18" fillId="0" borderId="77" xfId="34" applyFont="1" applyBorder="1" applyAlignment="1">
      <alignment horizontal="center" vertical="center"/>
      <protection/>
    </xf>
    <xf numFmtId="0" fontId="18" fillId="0" borderId="78" xfId="34" applyFont="1" applyBorder="1" applyAlignment="1">
      <alignment horizontal="center" vertical="center"/>
      <protection/>
    </xf>
    <xf numFmtId="0" fontId="18" fillId="0" borderId="51" xfId="34" applyFont="1" applyBorder="1" applyAlignment="1">
      <alignment horizontal="center" vertical="center"/>
      <protection/>
    </xf>
    <xf numFmtId="0" fontId="18" fillId="0" borderId="79" xfId="34" applyFont="1" applyBorder="1" applyAlignment="1">
      <alignment horizontal="center" vertical="center"/>
      <protection/>
    </xf>
    <xf numFmtId="0" fontId="2" fillId="0" borderId="62" xfId="34" applyFont="1" applyBorder="1" applyAlignment="1">
      <alignment horizontal="center" vertical="center" wrapText="1"/>
      <protection/>
    </xf>
    <xf numFmtId="0" fontId="2" fillId="0" borderId="59" xfId="34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80" fontId="2" fillId="0" borderId="41" xfId="34" applyNumberFormat="1" applyFont="1" applyBorder="1" applyAlignment="1">
      <alignment horizontal="center" vertical="center" wrapText="1"/>
      <protection/>
    </xf>
    <xf numFmtId="180" fontId="2" fillId="0" borderId="50" xfId="34" applyNumberFormat="1" applyFont="1" applyBorder="1" applyAlignment="1">
      <alignment horizontal="center" vertical="center" wrapText="1"/>
      <protection/>
    </xf>
    <xf numFmtId="180" fontId="8" fillId="32" borderId="0" xfId="33" applyNumberFormat="1" applyFont="1" applyFill="1" applyBorder="1" applyAlignment="1">
      <alignment horizontal="left"/>
      <protection/>
    </xf>
    <xf numFmtId="180" fontId="5" fillId="0" borderId="43" xfId="0" applyNumberFormat="1" applyFont="1" applyFill="1" applyBorder="1" applyAlignment="1">
      <alignment horizontal="center" vertical="center" wrapText="1"/>
    </xf>
    <xf numFmtId="180" fontId="5" fillId="0" borderId="44" xfId="0" applyNumberFormat="1" applyFont="1" applyFill="1" applyBorder="1" applyAlignment="1">
      <alignment horizontal="center" vertical="center" wrapText="1"/>
    </xf>
    <xf numFmtId="2" fontId="8" fillId="0" borderId="27" xfId="33" applyNumberFormat="1" applyFont="1" applyFill="1" applyBorder="1" applyAlignment="1">
      <alignment horizontal="center"/>
      <protection/>
    </xf>
    <xf numFmtId="2" fontId="8" fillId="0" borderId="33" xfId="33" applyNumberFormat="1" applyFont="1" applyFill="1" applyBorder="1" applyAlignment="1">
      <alignment horizontal="center"/>
      <protection/>
    </xf>
    <xf numFmtId="2" fontId="8" fillId="0" borderId="21" xfId="33" applyNumberFormat="1" applyFont="1" applyFill="1" applyBorder="1" applyAlignment="1">
      <alignment horizontal="center"/>
      <protection/>
    </xf>
    <xf numFmtId="180" fontId="8" fillId="0" borderId="62" xfId="33" applyNumberFormat="1" applyFont="1" applyFill="1" applyBorder="1" applyAlignment="1">
      <alignment horizontal="center"/>
      <protection/>
    </xf>
    <xf numFmtId="180" fontId="8" fillId="0" borderId="59" xfId="33" applyNumberFormat="1" applyFont="1" applyFill="1" applyBorder="1" applyAlignment="1">
      <alignment horizontal="center"/>
      <protection/>
    </xf>
    <xf numFmtId="180" fontId="4" fillId="0" borderId="62" xfId="33" applyNumberFormat="1" applyFont="1" applyFill="1" applyBorder="1" applyAlignment="1">
      <alignment horizontal="center"/>
      <protection/>
    </xf>
    <xf numFmtId="180" fontId="4" fillId="0" borderId="35" xfId="33" applyNumberFormat="1" applyFont="1" applyFill="1" applyBorder="1" applyAlignment="1">
      <alignment horizontal="center"/>
      <protection/>
    </xf>
    <xf numFmtId="180" fontId="4" fillId="0" borderId="72" xfId="33" applyNumberFormat="1" applyFont="1" applyFill="1" applyBorder="1" applyAlignment="1">
      <alignment horizontal="center"/>
      <protection/>
    </xf>
    <xf numFmtId="180" fontId="8" fillId="0" borderId="33" xfId="33" applyNumberFormat="1" applyFont="1" applyFill="1" applyBorder="1" applyAlignment="1">
      <alignment horizontal="center"/>
      <protection/>
    </xf>
    <xf numFmtId="180" fontId="8" fillId="0" borderId="21" xfId="33" applyNumberFormat="1" applyFont="1" applyFill="1" applyBorder="1" applyAlignment="1">
      <alignment horizontal="center"/>
      <protection/>
    </xf>
    <xf numFmtId="180" fontId="8" fillId="0" borderId="27" xfId="0" applyNumberFormat="1" applyFont="1" applyFill="1" applyBorder="1" applyAlignment="1">
      <alignment horizontal="center"/>
    </xf>
    <xf numFmtId="180" fontId="8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2" fillId="0" borderId="12" xfId="34" applyFont="1" applyFill="1" applyBorder="1" applyAlignment="1">
      <alignment horizontal="left" wrapText="1"/>
      <protection/>
    </xf>
    <xf numFmtId="0" fontId="2" fillId="0" borderId="39" xfId="34" applyFont="1" applyFill="1" applyBorder="1" applyAlignment="1">
      <alignment horizontal="left" wrapText="1"/>
      <protection/>
    </xf>
    <xf numFmtId="0" fontId="2" fillId="0" borderId="38" xfId="34" applyFont="1" applyFill="1" applyBorder="1" applyAlignment="1">
      <alignment horizontal="left" wrapText="1"/>
      <protection/>
    </xf>
    <xf numFmtId="0" fontId="2" fillId="0" borderId="6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34" applyFont="1" applyFill="1" applyBorder="1" applyAlignment="1">
      <alignment horizontal="left"/>
      <protection/>
    </xf>
    <xf numFmtId="0" fontId="2" fillId="0" borderId="10" xfId="34" applyFont="1" applyFill="1" applyBorder="1" applyAlignment="1">
      <alignment horizontal="left"/>
      <protection/>
    </xf>
    <xf numFmtId="0" fontId="2" fillId="0" borderId="45" xfId="34" applyFont="1" applyFill="1" applyBorder="1" applyAlignment="1">
      <alignment horizontal="left"/>
      <protection/>
    </xf>
    <xf numFmtId="49" fontId="24" fillId="0" borderId="12" xfId="34" applyNumberFormat="1" applyFont="1" applyFill="1" applyBorder="1" applyAlignment="1">
      <alignment horizontal="center" wrapText="1"/>
      <protection/>
    </xf>
    <xf numFmtId="49" fontId="24" fillId="0" borderId="39" xfId="34" applyNumberFormat="1" applyFont="1" applyFill="1" applyBorder="1" applyAlignment="1">
      <alignment horizontal="center" wrapText="1"/>
      <protection/>
    </xf>
    <xf numFmtId="49" fontId="24" fillId="0" borderId="38" xfId="34" applyNumberFormat="1" applyFont="1" applyFill="1" applyBorder="1" applyAlignment="1">
      <alignment horizontal="center" wrapText="1"/>
      <protection/>
    </xf>
    <xf numFmtId="49" fontId="2" fillId="0" borderId="20" xfId="34" applyNumberFormat="1" applyFont="1" applyFill="1" applyBorder="1" applyAlignment="1">
      <alignment horizontal="left" wrapText="1"/>
      <protection/>
    </xf>
    <xf numFmtId="49" fontId="2" fillId="0" borderId="10" xfId="34" applyNumberFormat="1" applyFont="1" applyFill="1" applyBorder="1" applyAlignment="1">
      <alignment horizontal="left" wrapText="1"/>
      <protection/>
    </xf>
    <xf numFmtId="49" fontId="2" fillId="0" borderId="45" xfId="34" applyNumberFormat="1" applyFont="1" applyFill="1" applyBorder="1" applyAlignment="1">
      <alignment horizontal="left" wrapText="1"/>
      <protection/>
    </xf>
    <xf numFmtId="0" fontId="2" fillId="0" borderId="12" xfId="34" applyFont="1" applyFill="1" applyBorder="1" applyAlignment="1">
      <alignment horizontal="left"/>
      <protection/>
    </xf>
    <xf numFmtId="0" fontId="2" fillId="0" borderId="39" xfId="34" applyFont="1" applyFill="1" applyBorder="1" applyAlignment="1">
      <alignment horizontal="left"/>
      <protection/>
    </xf>
    <xf numFmtId="0" fontId="2" fillId="0" borderId="38" xfId="34" applyFont="1" applyFill="1" applyBorder="1" applyAlignment="1">
      <alignment horizontal="left"/>
      <protection/>
    </xf>
    <xf numFmtId="49" fontId="2" fillId="0" borderId="12" xfId="34" applyNumberFormat="1" applyFont="1" applyFill="1" applyBorder="1" applyAlignment="1">
      <alignment horizontal="left" wrapText="1"/>
      <protection/>
    </xf>
    <xf numFmtId="49" fontId="2" fillId="0" borderId="39" xfId="34" applyNumberFormat="1" applyFont="1" applyFill="1" applyBorder="1" applyAlignment="1">
      <alignment horizontal="left" wrapText="1"/>
      <protection/>
    </xf>
    <xf numFmtId="49" fontId="2" fillId="0" borderId="38" xfId="34" applyNumberFormat="1" applyFont="1" applyFill="1" applyBorder="1" applyAlignment="1">
      <alignment horizontal="left" wrapText="1"/>
      <protection/>
    </xf>
    <xf numFmtId="0" fontId="2" fillId="0" borderId="78" xfId="34" applyFont="1" applyFill="1" applyBorder="1" applyAlignment="1">
      <alignment horizontal="left"/>
      <protection/>
    </xf>
    <xf numFmtId="0" fontId="2" fillId="0" borderId="51" xfId="34" applyFont="1" applyFill="1" applyBorder="1" applyAlignment="1">
      <alignment horizontal="left"/>
      <protection/>
    </xf>
    <xf numFmtId="0" fontId="23" fillId="0" borderId="27" xfId="34" applyFont="1" applyFill="1" applyBorder="1" applyAlignment="1">
      <alignment horizontal="left"/>
      <protection/>
    </xf>
    <xf numFmtId="0" fontId="23" fillId="0" borderId="33" xfId="34" applyFont="1" applyFill="1" applyBorder="1" applyAlignment="1">
      <alignment horizontal="left"/>
      <protection/>
    </xf>
    <xf numFmtId="0" fontId="23" fillId="0" borderId="21" xfId="34" applyFont="1" applyFill="1" applyBorder="1" applyAlignment="1">
      <alignment horizontal="left"/>
      <protection/>
    </xf>
    <xf numFmtId="0" fontId="2" fillId="0" borderId="34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81" xfId="34" applyFont="1" applyFill="1" applyBorder="1" applyAlignment="1">
      <alignment horizontal="left"/>
      <protection/>
    </xf>
    <xf numFmtId="0" fontId="17" fillId="0" borderId="0" xfId="0" applyFont="1" applyFill="1" applyAlignment="1">
      <alignment horizontal="center"/>
    </xf>
    <xf numFmtId="0" fontId="18" fillId="0" borderId="75" xfId="34" applyFont="1" applyFill="1" applyBorder="1" applyAlignment="1">
      <alignment horizontal="center" vertical="center"/>
      <protection/>
    </xf>
    <xf numFmtId="0" fontId="18" fillId="0" borderId="76" xfId="34" applyFont="1" applyFill="1" applyBorder="1" applyAlignment="1">
      <alignment horizontal="center" vertical="center"/>
      <protection/>
    </xf>
    <xf numFmtId="0" fontId="18" fillId="0" borderId="77" xfId="34" applyFont="1" applyFill="1" applyBorder="1" applyAlignment="1">
      <alignment horizontal="center" vertical="center"/>
      <protection/>
    </xf>
    <xf numFmtId="0" fontId="18" fillId="0" borderId="78" xfId="34" applyFont="1" applyFill="1" applyBorder="1" applyAlignment="1">
      <alignment horizontal="center" vertical="center"/>
      <protection/>
    </xf>
    <xf numFmtId="0" fontId="18" fillId="0" borderId="51" xfId="34" applyFont="1" applyFill="1" applyBorder="1" applyAlignment="1">
      <alignment horizontal="center" vertical="center"/>
      <protection/>
    </xf>
    <xf numFmtId="0" fontId="18" fillId="0" borderId="79" xfId="34" applyFont="1" applyFill="1" applyBorder="1" applyAlignment="1">
      <alignment horizontal="center" vertical="center"/>
      <protection/>
    </xf>
    <xf numFmtId="0" fontId="2" fillId="0" borderId="43" xfId="34" applyFont="1" applyFill="1" applyBorder="1" applyAlignment="1">
      <alignment horizontal="center" vertical="center" wrapText="1"/>
      <protection/>
    </xf>
    <xf numFmtId="0" fontId="2" fillId="0" borderId="44" xfId="34" applyFont="1" applyFill="1" applyBorder="1" applyAlignment="1">
      <alignment horizontal="center" vertical="center" wrapText="1"/>
      <protection/>
    </xf>
    <xf numFmtId="180" fontId="2" fillId="0" borderId="41" xfId="34" applyNumberFormat="1" applyFont="1" applyFill="1" applyBorder="1" applyAlignment="1">
      <alignment horizontal="center" vertical="center" wrapText="1"/>
      <protection/>
    </xf>
    <xf numFmtId="180" fontId="2" fillId="0" borderId="50" xfId="34" applyNumberFormat="1" applyFont="1" applyFill="1" applyBorder="1" applyAlignment="1">
      <alignment horizontal="center" vertical="center" wrapText="1"/>
      <protection/>
    </xf>
    <xf numFmtId="180" fontId="2" fillId="0" borderId="62" xfId="34" applyNumberFormat="1" applyFont="1" applyFill="1" applyBorder="1" applyAlignment="1">
      <alignment horizontal="center" vertical="center" wrapText="1"/>
      <protection/>
    </xf>
    <xf numFmtId="180" fontId="2" fillId="0" borderId="59" xfId="34" applyNumberFormat="1" applyFont="1" applyFill="1" applyBorder="1" applyAlignment="1">
      <alignment horizontal="center" vertical="center" wrapText="1"/>
      <protection/>
    </xf>
    <xf numFmtId="49" fontId="19" fillId="0" borderId="12" xfId="34" applyNumberFormat="1" applyFont="1" applyFill="1" applyBorder="1" applyAlignment="1">
      <alignment horizontal="center"/>
      <protection/>
    </xf>
    <xf numFmtId="49" fontId="19" fillId="0" borderId="39" xfId="34" applyNumberFormat="1" applyFont="1" applyFill="1" applyBorder="1" applyAlignment="1">
      <alignment horizontal="center"/>
      <protection/>
    </xf>
    <xf numFmtId="49" fontId="19" fillId="0" borderId="38" xfId="34" applyNumberFormat="1" applyFont="1" applyFill="1" applyBorder="1" applyAlignment="1">
      <alignment horizontal="center"/>
      <protection/>
    </xf>
    <xf numFmtId="180" fontId="2" fillId="0" borderId="43" xfId="34" applyNumberFormat="1" applyFont="1" applyFill="1" applyBorder="1" applyAlignment="1">
      <alignment horizontal="center" vertical="center" wrapText="1"/>
      <protection/>
    </xf>
    <xf numFmtId="180" fontId="2" fillId="0" borderId="44" xfId="34" applyNumberFormat="1" applyFont="1" applyFill="1" applyBorder="1" applyAlignment="1">
      <alignment horizontal="center" vertical="center" wrapText="1"/>
      <protection/>
    </xf>
    <xf numFmtId="49" fontId="26" fillId="0" borderId="75" xfId="34" applyNumberFormat="1" applyFont="1" applyFill="1" applyBorder="1" applyAlignment="1">
      <alignment horizontal="center"/>
      <protection/>
    </xf>
    <xf numFmtId="49" fontId="26" fillId="0" borderId="76" xfId="34" applyNumberFormat="1" applyFont="1" applyFill="1" applyBorder="1" applyAlignment="1">
      <alignment horizontal="center"/>
      <protection/>
    </xf>
    <xf numFmtId="49" fontId="26" fillId="0" borderId="77" xfId="34" applyNumberFormat="1" applyFont="1" applyFill="1" applyBorder="1" applyAlignment="1">
      <alignment horizontal="center"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37" xfId="34" applyFont="1" applyFill="1" applyBorder="1" applyAlignment="1">
      <alignment horizontal="left"/>
      <protection/>
    </xf>
    <xf numFmtId="0" fontId="2" fillId="0" borderId="36" xfId="34" applyFont="1" applyFill="1" applyBorder="1" applyAlignment="1">
      <alignment horizontal="left"/>
      <protection/>
    </xf>
    <xf numFmtId="0" fontId="24" fillId="0" borderId="18" xfId="34" applyFont="1" applyFill="1" applyBorder="1" applyAlignment="1">
      <alignment horizontal="left"/>
      <protection/>
    </xf>
    <xf numFmtId="0" fontId="24" fillId="0" borderId="17" xfId="34" applyFont="1" applyFill="1" applyBorder="1" applyAlignment="1">
      <alignment horizontal="left"/>
      <protection/>
    </xf>
    <xf numFmtId="0" fontId="24" fillId="0" borderId="55" xfId="34" applyFont="1" applyFill="1" applyBorder="1" applyAlignment="1">
      <alignment horizontal="left"/>
      <protection/>
    </xf>
    <xf numFmtId="0" fontId="11" fillId="0" borderId="72" xfId="34" applyFont="1" applyFill="1" applyBorder="1" applyAlignment="1">
      <alignment horizontal="center" wrapText="1"/>
      <protection/>
    </xf>
    <xf numFmtId="0" fontId="11" fillId="0" borderId="74" xfId="34" applyFont="1" applyFill="1" applyBorder="1" applyAlignment="1">
      <alignment horizontal="center" wrapText="1"/>
      <protection/>
    </xf>
    <xf numFmtId="49" fontId="2" fillId="0" borderId="69" xfId="34" applyNumberFormat="1" applyFont="1" applyFill="1" applyBorder="1" applyAlignment="1">
      <alignment horizontal="left"/>
      <protection/>
    </xf>
    <xf numFmtId="49" fontId="2" fillId="0" borderId="32" xfId="34" applyNumberFormat="1" applyFont="1" applyFill="1" applyBorder="1" applyAlignment="1">
      <alignment horizontal="left"/>
      <protection/>
    </xf>
    <xf numFmtId="49" fontId="2" fillId="0" borderId="61" xfId="34" applyNumberFormat="1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140625" defaultRowHeight="12.75"/>
  <cols>
    <col min="1" max="1" width="25.8515625" style="265" customWidth="1"/>
    <col min="2" max="2" width="4.8515625" style="15" customWidth="1"/>
    <col min="3" max="3" width="7.421875" style="15" hidden="1" customWidth="1"/>
    <col min="4" max="4" width="7.8515625" style="15" customWidth="1"/>
    <col min="5" max="6" width="13.28125" style="15" customWidth="1"/>
    <col min="7" max="7" width="12.7109375" style="15" customWidth="1"/>
    <col min="8" max="8" width="9.421875" style="15" customWidth="1"/>
    <col min="9" max="9" width="8.7109375" style="15" customWidth="1"/>
    <col min="10" max="10" width="9.28125" style="15" customWidth="1"/>
    <col min="11" max="11" width="9.28125" style="15" hidden="1" customWidth="1"/>
    <col min="12" max="12" width="9.28125" style="15" customWidth="1"/>
    <col min="13" max="13" width="9.28125" style="15" hidden="1" customWidth="1"/>
    <col min="14" max="14" width="5.8515625" style="15" customWidth="1"/>
    <col min="15" max="15" width="7.57421875" style="15" customWidth="1"/>
    <col min="16" max="17" width="11.28125" style="15" hidden="1" customWidth="1"/>
    <col min="18" max="18" width="9.00390625" style="15" customWidth="1"/>
    <col min="19" max="19" width="7.8515625" style="15" customWidth="1"/>
    <col min="20" max="20" width="7.57421875" style="15" customWidth="1"/>
    <col min="21" max="21" width="7.140625" style="15" customWidth="1"/>
    <col min="22" max="22" width="7.57421875" style="15" customWidth="1"/>
    <col min="23" max="24" width="11.28125" style="15" hidden="1" customWidth="1"/>
    <col min="25" max="25" width="11.28125" style="15" customWidth="1"/>
    <col min="26" max="29" width="12.421875" style="15" hidden="1" customWidth="1"/>
    <col min="30" max="30" width="12.57421875" style="15" customWidth="1"/>
    <col min="31" max="31" width="7.421875" style="15" customWidth="1"/>
    <col min="32" max="16384" width="9.140625" style="15" customWidth="1"/>
  </cols>
  <sheetData>
    <row r="1" ht="12.75">
      <c r="AA1" s="15" t="s">
        <v>16</v>
      </c>
    </row>
    <row r="2" spans="1:31" s="19" customFormat="1" ht="18" customHeight="1">
      <c r="A2" s="546" t="s">
        <v>204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7"/>
      <c r="AE2" s="17"/>
    </row>
    <row r="3" ht="12.75">
      <c r="AA3" s="15" t="s">
        <v>16</v>
      </c>
    </row>
    <row r="4" ht="13.5" thickBot="1"/>
    <row r="5" spans="1:31" s="6" customFormat="1" ht="57.75" customHeight="1" thickBot="1">
      <c r="A5" s="66"/>
      <c r="B5" s="83" t="s">
        <v>192</v>
      </c>
      <c r="C5" s="84" t="s">
        <v>117</v>
      </c>
      <c r="D5" s="84" t="s">
        <v>164</v>
      </c>
      <c r="E5" s="259" t="s">
        <v>118</v>
      </c>
      <c r="F5" s="264" t="s">
        <v>116</v>
      </c>
      <c r="G5" s="251">
        <v>4111</v>
      </c>
      <c r="H5" s="252">
        <v>4212</v>
      </c>
      <c r="I5" s="252">
        <v>4213</v>
      </c>
      <c r="J5" s="252">
        <v>4214</v>
      </c>
      <c r="K5" s="252">
        <v>4215</v>
      </c>
      <c r="L5" s="273" t="s">
        <v>185</v>
      </c>
      <c r="M5" s="252">
        <v>4234</v>
      </c>
      <c r="N5" s="252">
        <v>4239</v>
      </c>
      <c r="O5" s="252">
        <v>4241</v>
      </c>
      <c r="P5" s="252">
        <v>4251</v>
      </c>
      <c r="Q5" s="252">
        <v>4252</v>
      </c>
      <c r="R5" s="252">
        <v>4261</v>
      </c>
      <c r="S5" s="252">
        <v>4262</v>
      </c>
      <c r="T5" s="252" t="s">
        <v>54</v>
      </c>
      <c r="U5" s="252">
        <v>4266</v>
      </c>
      <c r="V5" s="252" t="s">
        <v>55</v>
      </c>
      <c r="W5" s="252" t="s">
        <v>2</v>
      </c>
      <c r="X5" s="252">
        <v>4823</v>
      </c>
      <c r="Y5" s="29" t="s">
        <v>188</v>
      </c>
      <c r="Z5" s="253" t="s">
        <v>59</v>
      </c>
      <c r="AA5" s="253" t="s">
        <v>53</v>
      </c>
      <c r="AB5" s="253" t="s">
        <v>61</v>
      </c>
      <c r="AC5" s="257" t="s">
        <v>20</v>
      </c>
      <c r="AD5" s="276" t="s">
        <v>186</v>
      </c>
      <c r="AE5" s="258" t="s">
        <v>213</v>
      </c>
    </row>
    <row r="6" spans="1:31" s="212" customFormat="1" ht="28.5" customHeight="1">
      <c r="A6" s="210" t="s">
        <v>145</v>
      </c>
      <c r="B6" s="223"/>
      <c r="C6" s="224"/>
      <c r="D6" s="224"/>
      <c r="E6" s="375">
        <v>3384.2</v>
      </c>
      <c r="F6" s="362">
        <f aca="true" t="shared" si="0" ref="F6:F30">SUM(C6:E6)</f>
        <v>3384.2</v>
      </c>
      <c r="G6" s="363">
        <v>3330.1</v>
      </c>
      <c r="H6" s="364"/>
      <c r="I6" s="364"/>
      <c r="J6" s="364">
        <v>16.8</v>
      </c>
      <c r="K6" s="364"/>
      <c r="L6" s="364"/>
      <c r="M6" s="364"/>
      <c r="N6" s="364">
        <v>3</v>
      </c>
      <c r="O6" s="364"/>
      <c r="P6" s="364"/>
      <c r="Q6" s="364"/>
      <c r="R6" s="364">
        <v>14</v>
      </c>
      <c r="S6" s="364"/>
      <c r="T6" s="364"/>
      <c r="U6" s="364">
        <v>5.3</v>
      </c>
      <c r="V6" s="364">
        <v>15</v>
      </c>
      <c r="W6" s="364"/>
      <c r="X6" s="364"/>
      <c r="Y6" s="364">
        <f aca="true" t="shared" si="1" ref="Y6:Y17">SUM(G6:X6)</f>
        <v>3384.2000000000003</v>
      </c>
      <c r="Z6" s="364"/>
      <c r="AA6" s="364"/>
      <c r="AB6" s="364"/>
      <c r="AC6" s="365">
        <f>SUM(Z6:AB6)</f>
        <v>0</v>
      </c>
      <c r="AD6" s="366">
        <f>SUM(Y6,AC6)</f>
        <v>3384.2000000000003</v>
      </c>
      <c r="AE6" s="363">
        <f aca="true" t="shared" si="2" ref="AE6:AE17">B6+F6-AD6</f>
        <v>0</v>
      </c>
    </row>
    <row r="7" spans="1:31" s="212" customFormat="1" ht="28.5" customHeight="1">
      <c r="A7" s="210" t="s">
        <v>144</v>
      </c>
      <c r="B7" s="218"/>
      <c r="C7" s="219"/>
      <c r="D7" s="219"/>
      <c r="E7" s="376">
        <v>2589.8</v>
      </c>
      <c r="F7" s="362">
        <f t="shared" si="0"/>
        <v>2589.8</v>
      </c>
      <c r="G7" s="367">
        <v>2544.6</v>
      </c>
      <c r="H7" s="368"/>
      <c r="I7" s="368"/>
      <c r="J7" s="368">
        <v>16.4</v>
      </c>
      <c r="K7" s="368"/>
      <c r="L7" s="368"/>
      <c r="M7" s="368"/>
      <c r="N7" s="368">
        <v>3</v>
      </c>
      <c r="O7" s="368"/>
      <c r="P7" s="368"/>
      <c r="Q7" s="368"/>
      <c r="R7" s="368">
        <v>9</v>
      </c>
      <c r="S7" s="368"/>
      <c r="T7" s="368"/>
      <c r="U7" s="368">
        <v>3.8</v>
      </c>
      <c r="V7" s="368">
        <v>13</v>
      </c>
      <c r="W7" s="368"/>
      <c r="X7" s="368"/>
      <c r="Y7" s="364">
        <f t="shared" si="1"/>
        <v>2589.8</v>
      </c>
      <c r="Z7" s="368"/>
      <c r="AA7" s="368"/>
      <c r="AB7" s="368"/>
      <c r="AC7" s="365">
        <f aca="true" t="shared" si="3" ref="AC7:AC29">SUM(Z7:AB7)</f>
        <v>0</v>
      </c>
      <c r="AD7" s="366">
        <f aca="true" t="shared" si="4" ref="AD7:AD29">SUM(Y7,AC7)</f>
        <v>2589.8</v>
      </c>
      <c r="AE7" s="363">
        <f t="shared" si="2"/>
        <v>0</v>
      </c>
    </row>
    <row r="8" spans="1:31" s="212" customFormat="1" ht="28.5" customHeight="1">
      <c r="A8" s="210" t="s">
        <v>143</v>
      </c>
      <c r="B8" s="218"/>
      <c r="C8" s="219"/>
      <c r="D8" s="225"/>
      <c r="E8" s="376">
        <v>2538.4</v>
      </c>
      <c r="F8" s="362">
        <f t="shared" si="0"/>
        <v>2538.4</v>
      </c>
      <c r="G8" s="367">
        <v>2493</v>
      </c>
      <c r="H8" s="368"/>
      <c r="I8" s="368"/>
      <c r="J8" s="368">
        <v>16.6</v>
      </c>
      <c r="K8" s="368"/>
      <c r="L8" s="368"/>
      <c r="M8" s="368"/>
      <c r="N8" s="368">
        <v>3</v>
      </c>
      <c r="O8" s="368"/>
      <c r="P8" s="368"/>
      <c r="Q8" s="368"/>
      <c r="R8" s="368">
        <v>9</v>
      </c>
      <c r="S8" s="368"/>
      <c r="T8" s="368"/>
      <c r="U8" s="368">
        <v>3.8</v>
      </c>
      <c r="V8" s="368">
        <v>13</v>
      </c>
      <c r="W8" s="368"/>
      <c r="X8" s="368"/>
      <c r="Y8" s="364">
        <f t="shared" si="1"/>
        <v>2538.4</v>
      </c>
      <c r="Z8" s="368"/>
      <c r="AA8" s="368"/>
      <c r="AB8" s="368"/>
      <c r="AC8" s="365">
        <f t="shared" si="3"/>
        <v>0</v>
      </c>
      <c r="AD8" s="366">
        <f t="shared" si="4"/>
        <v>2538.4</v>
      </c>
      <c r="AE8" s="363">
        <f t="shared" si="2"/>
        <v>0</v>
      </c>
    </row>
    <row r="9" spans="1:31" s="212" customFormat="1" ht="28.5" customHeight="1">
      <c r="A9" s="210" t="s">
        <v>142</v>
      </c>
      <c r="B9" s="218"/>
      <c r="C9" s="219"/>
      <c r="D9" s="219"/>
      <c r="E9" s="376">
        <v>4367.1</v>
      </c>
      <c r="F9" s="362">
        <f t="shared" si="0"/>
        <v>4367.1</v>
      </c>
      <c r="G9" s="367">
        <v>4308.3</v>
      </c>
      <c r="H9" s="368"/>
      <c r="I9" s="368"/>
      <c r="J9" s="368">
        <v>16.6</v>
      </c>
      <c r="K9" s="368"/>
      <c r="L9" s="368"/>
      <c r="M9" s="368"/>
      <c r="N9" s="368"/>
      <c r="O9" s="368"/>
      <c r="P9" s="368"/>
      <c r="Q9" s="368"/>
      <c r="R9" s="368">
        <v>18</v>
      </c>
      <c r="S9" s="368"/>
      <c r="T9" s="368"/>
      <c r="U9" s="368">
        <v>8.2</v>
      </c>
      <c r="V9" s="368">
        <v>16</v>
      </c>
      <c r="W9" s="368"/>
      <c r="X9" s="368"/>
      <c r="Y9" s="364">
        <f t="shared" si="1"/>
        <v>4367.1</v>
      </c>
      <c r="Z9" s="368"/>
      <c r="AA9" s="368"/>
      <c r="AB9" s="368"/>
      <c r="AC9" s="365">
        <f t="shared" si="3"/>
        <v>0</v>
      </c>
      <c r="AD9" s="366">
        <f t="shared" si="4"/>
        <v>4367.1</v>
      </c>
      <c r="AE9" s="363">
        <f t="shared" si="2"/>
        <v>0</v>
      </c>
    </row>
    <row r="10" spans="1:31" s="212" customFormat="1" ht="28.5" customHeight="1">
      <c r="A10" s="210" t="s">
        <v>141</v>
      </c>
      <c r="B10" s="218"/>
      <c r="C10" s="219"/>
      <c r="D10" s="219"/>
      <c r="E10" s="377">
        <v>2622.9</v>
      </c>
      <c r="F10" s="362">
        <f t="shared" si="0"/>
        <v>2622.9</v>
      </c>
      <c r="G10" s="367">
        <v>2577.3</v>
      </c>
      <c r="H10" s="368"/>
      <c r="I10" s="368"/>
      <c r="J10" s="368">
        <v>16.8</v>
      </c>
      <c r="K10" s="368"/>
      <c r="L10" s="368"/>
      <c r="M10" s="368"/>
      <c r="N10" s="368">
        <v>3</v>
      </c>
      <c r="O10" s="368"/>
      <c r="P10" s="368"/>
      <c r="Q10" s="378"/>
      <c r="R10" s="368">
        <v>9</v>
      </c>
      <c r="S10" s="368"/>
      <c r="T10" s="368"/>
      <c r="U10" s="368">
        <v>3.8</v>
      </c>
      <c r="V10" s="368">
        <v>13</v>
      </c>
      <c r="W10" s="368"/>
      <c r="X10" s="368"/>
      <c r="Y10" s="364">
        <f t="shared" si="1"/>
        <v>2622.9000000000005</v>
      </c>
      <c r="Z10" s="368"/>
      <c r="AA10" s="368"/>
      <c r="AB10" s="368"/>
      <c r="AC10" s="365">
        <f t="shared" si="3"/>
        <v>0</v>
      </c>
      <c r="AD10" s="366">
        <f t="shared" si="4"/>
        <v>2622.9000000000005</v>
      </c>
      <c r="AE10" s="363">
        <f t="shared" si="2"/>
        <v>0</v>
      </c>
    </row>
    <row r="11" spans="1:31" s="212" customFormat="1" ht="28.5" customHeight="1">
      <c r="A11" s="210" t="s">
        <v>146</v>
      </c>
      <c r="B11" s="218"/>
      <c r="C11" s="219"/>
      <c r="D11" s="219"/>
      <c r="E11" s="376">
        <v>3673.4</v>
      </c>
      <c r="F11" s="362">
        <f t="shared" si="0"/>
        <v>3673.4</v>
      </c>
      <c r="G11" s="367">
        <v>3619.3</v>
      </c>
      <c r="H11" s="368"/>
      <c r="I11" s="368"/>
      <c r="J11" s="368">
        <v>16.8</v>
      </c>
      <c r="K11" s="368"/>
      <c r="L11" s="368"/>
      <c r="M11" s="368"/>
      <c r="N11" s="368">
        <v>3</v>
      </c>
      <c r="O11" s="368"/>
      <c r="P11" s="368"/>
      <c r="Q11" s="368"/>
      <c r="R11" s="368">
        <v>14</v>
      </c>
      <c r="S11" s="368"/>
      <c r="T11" s="368"/>
      <c r="U11" s="368">
        <v>5.3</v>
      </c>
      <c r="V11" s="368">
        <v>15</v>
      </c>
      <c r="W11" s="368"/>
      <c r="X11" s="368"/>
      <c r="Y11" s="364">
        <f t="shared" si="1"/>
        <v>3673.4000000000005</v>
      </c>
      <c r="Z11" s="368"/>
      <c r="AA11" s="368"/>
      <c r="AB11" s="368"/>
      <c r="AC11" s="365">
        <f t="shared" si="3"/>
        <v>0</v>
      </c>
      <c r="AD11" s="366">
        <f t="shared" si="4"/>
        <v>3673.4000000000005</v>
      </c>
      <c r="AE11" s="363">
        <f t="shared" si="2"/>
        <v>0</v>
      </c>
    </row>
    <row r="12" spans="1:31" s="212" customFormat="1" ht="28.5" customHeight="1">
      <c r="A12" s="210" t="s">
        <v>147</v>
      </c>
      <c r="B12" s="218"/>
      <c r="C12" s="219"/>
      <c r="D12" s="219"/>
      <c r="E12" s="376">
        <v>3488</v>
      </c>
      <c r="F12" s="362">
        <f t="shared" si="0"/>
        <v>3488</v>
      </c>
      <c r="G12" s="367">
        <v>3434.9</v>
      </c>
      <c r="H12" s="368"/>
      <c r="I12" s="368"/>
      <c r="J12" s="368">
        <v>16.8</v>
      </c>
      <c r="K12" s="368"/>
      <c r="L12" s="368"/>
      <c r="M12" s="368"/>
      <c r="N12" s="368">
        <v>3</v>
      </c>
      <c r="O12" s="368"/>
      <c r="P12" s="368"/>
      <c r="Q12" s="368"/>
      <c r="R12" s="368">
        <v>13</v>
      </c>
      <c r="S12" s="368"/>
      <c r="T12" s="368"/>
      <c r="U12" s="368">
        <v>5.3</v>
      </c>
      <c r="V12" s="368">
        <v>15</v>
      </c>
      <c r="W12" s="368"/>
      <c r="X12" s="368"/>
      <c r="Y12" s="364">
        <f t="shared" si="1"/>
        <v>3488.0000000000005</v>
      </c>
      <c r="Z12" s="368"/>
      <c r="AA12" s="368"/>
      <c r="AB12" s="368"/>
      <c r="AC12" s="365">
        <f t="shared" si="3"/>
        <v>0</v>
      </c>
      <c r="AD12" s="366">
        <f t="shared" si="4"/>
        <v>3488.0000000000005</v>
      </c>
      <c r="AE12" s="363">
        <f t="shared" si="2"/>
        <v>0</v>
      </c>
    </row>
    <row r="13" spans="1:31" s="212" customFormat="1" ht="28.5" customHeight="1">
      <c r="A13" s="210" t="s">
        <v>148</v>
      </c>
      <c r="B13" s="218"/>
      <c r="C13" s="219"/>
      <c r="D13" s="219"/>
      <c r="E13" s="376">
        <v>3943.9</v>
      </c>
      <c r="F13" s="362">
        <f t="shared" si="0"/>
        <v>3943.9</v>
      </c>
      <c r="G13" s="367">
        <v>3572.3</v>
      </c>
      <c r="H13" s="368"/>
      <c r="I13" s="368"/>
      <c r="J13" s="368">
        <v>16.8</v>
      </c>
      <c r="K13" s="368"/>
      <c r="L13" s="368"/>
      <c r="M13" s="368"/>
      <c r="N13" s="368">
        <v>3</v>
      </c>
      <c r="O13" s="368"/>
      <c r="P13" s="368"/>
      <c r="Q13" s="368"/>
      <c r="R13" s="368">
        <v>15</v>
      </c>
      <c r="S13" s="368"/>
      <c r="T13" s="368"/>
      <c r="U13" s="368">
        <v>6.8</v>
      </c>
      <c r="V13" s="368">
        <v>330</v>
      </c>
      <c r="W13" s="368"/>
      <c r="X13" s="368"/>
      <c r="Y13" s="364">
        <f t="shared" si="1"/>
        <v>3943.9000000000005</v>
      </c>
      <c r="Z13" s="368"/>
      <c r="AA13" s="368"/>
      <c r="AB13" s="368"/>
      <c r="AC13" s="365">
        <f t="shared" si="3"/>
        <v>0</v>
      </c>
      <c r="AD13" s="366">
        <f t="shared" si="4"/>
        <v>3943.9000000000005</v>
      </c>
      <c r="AE13" s="363">
        <f t="shared" si="2"/>
        <v>0</v>
      </c>
    </row>
    <row r="14" spans="1:31" s="212" customFormat="1" ht="28.5" customHeight="1">
      <c r="A14" s="67" t="s">
        <v>149</v>
      </c>
      <c r="B14" s="218"/>
      <c r="C14" s="248"/>
      <c r="D14" s="219"/>
      <c r="E14" s="376">
        <v>3473.1</v>
      </c>
      <c r="F14" s="362">
        <f t="shared" si="0"/>
        <v>3473.1</v>
      </c>
      <c r="G14" s="367">
        <v>3419.2</v>
      </c>
      <c r="H14" s="368"/>
      <c r="I14" s="368"/>
      <c r="J14" s="368">
        <v>16.6</v>
      </c>
      <c r="K14" s="368"/>
      <c r="L14" s="368"/>
      <c r="M14" s="368"/>
      <c r="N14" s="368">
        <v>3</v>
      </c>
      <c r="O14" s="368"/>
      <c r="P14" s="368"/>
      <c r="Q14" s="368"/>
      <c r="R14" s="368">
        <v>14</v>
      </c>
      <c r="S14" s="368"/>
      <c r="T14" s="368"/>
      <c r="U14" s="368">
        <v>5.3</v>
      </c>
      <c r="V14" s="368">
        <v>15</v>
      </c>
      <c r="W14" s="368"/>
      <c r="X14" s="368"/>
      <c r="Y14" s="364">
        <f t="shared" si="1"/>
        <v>3473.1</v>
      </c>
      <c r="Z14" s="368"/>
      <c r="AA14" s="368"/>
      <c r="AB14" s="368"/>
      <c r="AC14" s="365">
        <f t="shared" si="3"/>
        <v>0</v>
      </c>
      <c r="AD14" s="366">
        <f t="shared" si="4"/>
        <v>3473.1</v>
      </c>
      <c r="AE14" s="363">
        <f t="shared" si="2"/>
        <v>0</v>
      </c>
    </row>
    <row r="15" spans="1:31" s="212" customFormat="1" ht="28.5" customHeight="1">
      <c r="A15" s="210" t="s">
        <v>150</v>
      </c>
      <c r="B15" s="218"/>
      <c r="C15" s="219"/>
      <c r="D15" s="219"/>
      <c r="E15" s="376">
        <v>4646.7</v>
      </c>
      <c r="F15" s="362">
        <f t="shared" si="0"/>
        <v>4646.7</v>
      </c>
      <c r="G15" s="367">
        <v>4578.8</v>
      </c>
      <c r="H15" s="368"/>
      <c r="I15" s="368"/>
      <c r="J15" s="368">
        <v>16.8</v>
      </c>
      <c r="K15" s="368"/>
      <c r="L15" s="368"/>
      <c r="M15" s="368"/>
      <c r="N15" s="368">
        <v>3</v>
      </c>
      <c r="O15" s="368">
        <v>10.8</v>
      </c>
      <c r="P15" s="368"/>
      <c r="Q15" s="368"/>
      <c r="R15" s="368">
        <v>17</v>
      </c>
      <c r="S15" s="368"/>
      <c r="T15" s="368"/>
      <c r="U15" s="368">
        <v>5.3</v>
      </c>
      <c r="V15" s="368">
        <v>15</v>
      </c>
      <c r="W15" s="368"/>
      <c r="X15" s="368"/>
      <c r="Y15" s="364">
        <f t="shared" si="1"/>
        <v>4646.700000000001</v>
      </c>
      <c r="Z15" s="368"/>
      <c r="AA15" s="368"/>
      <c r="AB15" s="368"/>
      <c r="AC15" s="365">
        <f t="shared" si="3"/>
        <v>0</v>
      </c>
      <c r="AD15" s="366">
        <f t="shared" si="4"/>
        <v>4646.700000000001</v>
      </c>
      <c r="AE15" s="363">
        <f t="shared" si="2"/>
        <v>0</v>
      </c>
    </row>
    <row r="16" spans="1:31" s="212" customFormat="1" ht="28.5" customHeight="1">
      <c r="A16" s="210" t="s">
        <v>151</v>
      </c>
      <c r="B16" s="263"/>
      <c r="C16" s="248"/>
      <c r="D16" s="248"/>
      <c r="E16" s="379">
        <v>3665.3</v>
      </c>
      <c r="F16" s="380">
        <f t="shared" si="0"/>
        <v>3665.3</v>
      </c>
      <c r="G16" s="367">
        <v>3619.2</v>
      </c>
      <c r="H16" s="368"/>
      <c r="I16" s="368"/>
      <c r="J16" s="368">
        <v>9.8</v>
      </c>
      <c r="K16" s="368"/>
      <c r="L16" s="368"/>
      <c r="M16" s="368"/>
      <c r="N16" s="368">
        <v>3</v>
      </c>
      <c r="O16" s="368"/>
      <c r="P16" s="368"/>
      <c r="Q16" s="368"/>
      <c r="R16" s="368">
        <v>13</v>
      </c>
      <c r="S16" s="368"/>
      <c r="T16" s="368"/>
      <c r="U16" s="368">
        <v>5.3</v>
      </c>
      <c r="V16" s="368">
        <v>15</v>
      </c>
      <c r="W16" s="368"/>
      <c r="X16" s="368"/>
      <c r="Y16" s="364">
        <f t="shared" si="1"/>
        <v>3665.3</v>
      </c>
      <c r="Z16" s="368"/>
      <c r="AA16" s="368"/>
      <c r="AB16" s="368"/>
      <c r="AC16" s="365">
        <f t="shared" si="3"/>
        <v>0</v>
      </c>
      <c r="AD16" s="366">
        <f t="shared" si="4"/>
        <v>3665.3</v>
      </c>
      <c r="AE16" s="363">
        <f t="shared" si="2"/>
        <v>0</v>
      </c>
    </row>
    <row r="17" spans="1:31" s="212" customFormat="1" ht="28.5" customHeight="1" thickBot="1">
      <c r="A17" s="281" t="s">
        <v>152</v>
      </c>
      <c r="B17" s="254"/>
      <c r="C17" s="255"/>
      <c r="D17" s="255"/>
      <c r="E17" s="381">
        <v>3843.8</v>
      </c>
      <c r="F17" s="369">
        <f t="shared" si="0"/>
        <v>3843.8</v>
      </c>
      <c r="G17" s="370">
        <v>3790.4</v>
      </c>
      <c r="H17" s="371"/>
      <c r="I17" s="371"/>
      <c r="J17" s="371">
        <v>16.6</v>
      </c>
      <c r="K17" s="371"/>
      <c r="L17" s="371"/>
      <c r="M17" s="371"/>
      <c r="N17" s="371"/>
      <c r="O17" s="371"/>
      <c r="P17" s="371"/>
      <c r="Q17" s="371"/>
      <c r="R17" s="371">
        <v>15</v>
      </c>
      <c r="S17" s="371"/>
      <c r="T17" s="371"/>
      <c r="U17" s="371">
        <v>6.8</v>
      </c>
      <c r="V17" s="371">
        <v>15</v>
      </c>
      <c r="W17" s="371"/>
      <c r="X17" s="371"/>
      <c r="Y17" s="382">
        <f t="shared" si="1"/>
        <v>3843.8</v>
      </c>
      <c r="Z17" s="371"/>
      <c r="AA17" s="371"/>
      <c r="AB17" s="371"/>
      <c r="AC17" s="372">
        <f t="shared" si="3"/>
        <v>0</v>
      </c>
      <c r="AD17" s="373">
        <f t="shared" si="4"/>
        <v>3843.8</v>
      </c>
      <c r="AE17" s="374">
        <f t="shared" si="2"/>
        <v>0</v>
      </c>
    </row>
    <row r="18" spans="1:31" s="23" customFormat="1" ht="28.5" customHeight="1" thickBot="1">
      <c r="A18" s="68" t="s">
        <v>155</v>
      </c>
      <c r="B18" s="278">
        <f aca="true" t="shared" si="5" ref="B18:M18">SUM(B6:B17)</f>
        <v>0</v>
      </c>
      <c r="C18" s="282">
        <f t="shared" si="5"/>
        <v>0</v>
      </c>
      <c r="D18" s="282">
        <f t="shared" si="5"/>
        <v>0</v>
      </c>
      <c r="E18" s="383">
        <f t="shared" si="5"/>
        <v>42236.600000000006</v>
      </c>
      <c r="F18" s="357">
        <f t="shared" si="0"/>
        <v>42236.600000000006</v>
      </c>
      <c r="G18" s="358">
        <f t="shared" si="5"/>
        <v>41287.4</v>
      </c>
      <c r="H18" s="359">
        <f t="shared" si="5"/>
        <v>0</v>
      </c>
      <c r="I18" s="359">
        <f t="shared" si="5"/>
        <v>0</v>
      </c>
      <c r="J18" s="359">
        <f t="shared" si="5"/>
        <v>193.4</v>
      </c>
      <c r="K18" s="359">
        <f t="shared" si="5"/>
        <v>0</v>
      </c>
      <c r="L18" s="359">
        <f t="shared" si="5"/>
        <v>0</v>
      </c>
      <c r="M18" s="359">
        <f t="shared" si="5"/>
        <v>0</v>
      </c>
      <c r="N18" s="359">
        <f aca="true" t="shared" si="6" ref="N18:AE18">SUM(N6:N17)</f>
        <v>30</v>
      </c>
      <c r="O18" s="359">
        <f>SUM(O6:O17)</f>
        <v>10.8</v>
      </c>
      <c r="P18" s="359">
        <f t="shared" si="6"/>
        <v>0</v>
      </c>
      <c r="Q18" s="359">
        <f t="shared" si="6"/>
        <v>0</v>
      </c>
      <c r="R18" s="359">
        <f t="shared" si="6"/>
        <v>160</v>
      </c>
      <c r="S18" s="359">
        <f t="shared" si="6"/>
        <v>0</v>
      </c>
      <c r="T18" s="359">
        <f t="shared" si="6"/>
        <v>0</v>
      </c>
      <c r="U18" s="359">
        <f t="shared" si="6"/>
        <v>64.99999999999999</v>
      </c>
      <c r="V18" s="359">
        <f t="shared" si="6"/>
        <v>490</v>
      </c>
      <c r="W18" s="359">
        <f t="shared" si="6"/>
        <v>0</v>
      </c>
      <c r="X18" s="359">
        <f t="shared" si="6"/>
        <v>0</v>
      </c>
      <c r="Y18" s="359">
        <f>SUM(Y6:Y17)</f>
        <v>42236.600000000006</v>
      </c>
      <c r="Z18" s="359">
        <f t="shared" si="6"/>
        <v>0</v>
      </c>
      <c r="AA18" s="359">
        <f t="shared" si="6"/>
        <v>0</v>
      </c>
      <c r="AB18" s="359">
        <f t="shared" si="6"/>
        <v>0</v>
      </c>
      <c r="AC18" s="360">
        <f t="shared" si="6"/>
        <v>0</v>
      </c>
      <c r="AD18" s="359">
        <f t="shared" si="6"/>
        <v>42236.600000000006</v>
      </c>
      <c r="AE18" s="361">
        <f t="shared" si="6"/>
        <v>0</v>
      </c>
    </row>
    <row r="19" spans="1:31" s="212" customFormat="1" ht="28.5" customHeight="1">
      <c r="A19" s="210" t="s">
        <v>23</v>
      </c>
      <c r="B19" s="223"/>
      <c r="C19" s="224"/>
      <c r="D19" s="224">
        <v>467.7</v>
      </c>
      <c r="E19" s="375">
        <v>10474.4</v>
      </c>
      <c r="F19" s="362">
        <f t="shared" si="0"/>
        <v>10942.1</v>
      </c>
      <c r="G19" s="363">
        <v>10568.1</v>
      </c>
      <c r="H19" s="364">
        <v>230.4</v>
      </c>
      <c r="I19" s="364">
        <v>32.3</v>
      </c>
      <c r="J19" s="364">
        <v>26.2</v>
      </c>
      <c r="K19" s="364"/>
      <c r="L19" s="364"/>
      <c r="M19" s="364"/>
      <c r="N19" s="364">
        <v>3</v>
      </c>
      <c r="O19" s="364">
        <v>21.7</v>
      </c>
      <c r="P19" s="364"/>
      <c r="Q19" s="364"/>
      <c r="R19" s="364">
        <v>25.4</v>
      </c>
      <c r="S19" s="364"/>
      <c r="T19" s="364"/>
      <c r="U19" s="364"/>
      <c r="V19" s="364">
        <v>35</v>
      </c>
      <c r="W19" s="364"/>
      <c r="X19" s="364"/>
      <c r="Y19" s="364">
        <f>SUM(G19:X19)</f>
        <v>10942.1</v>
      </c>
      <c r="Z19" s="364"/>
      <c r="AA19" s="364"/>
      <c r="AB19" s="364"/>
      <c r="AC19" s="365">
        <f t="shared" si="3"/>
        <v>0</v>
      </c>
      <c r="AD19" s="366">
        <f t="shared" si="4"/>
        <v>10942.1</v>
      </c>
      <c r="AE19" s="363">
        <f>B19+F19-AD19</f>
        <v>0</v>
      </c>
    </row>
    <row r="20" spans="1:31" s="222" customFormat="1" ht="28.5" customHeight="1">
      <c r="A20" s="220" t="s">
        <v>138</v>
      </c>
      <c r="B20" s="221"/>
      <c r="C20" s="219"/>
      <c r="D20" s="219">
        <v>194.9</v>
      </c>
      <c r="E20" s="376">
        <v>5078.4</v>
      </c>
      <c r="F20" s="362">
        <f t="shared" si="0"/>
        <v>5273.299999999999</v>
      </c>
      <c r="G20" s="367">
        <v>5141.8</v>
      </c>
      <c r="H20" s="384">
        <v>81.3</v>
      </c>
      <c r="I20" s="368">
        <v>10.6</v>
      </c>
      <c r="J20" s="368">
        <v>16.6</v>
      </c>
      <c r="K20" s="385"/>
      <c r="L20" s="385"/>
      <c r="M20" s="385"/>
      <c r="N20" s="368">
        <v>3</v>
      </c>
      <c r="O20" s="368"/>
      <c r="P20" s="385"/>
      <c r="Q20" s="385"/>
      <c r="R20" s="368">
        <v>13</v>
      </c>
      <c r="S20" s="368"/>
      <c r="T20" s="385"/>
      <c r="U20" s="385"/>
      <c r="V20" s="368">
        <v>7</v>
      </c>
      <c r="W20" s="384"/>
      <c r="X20" s="385"/>
      <c r="Y20" s="368">
        <f>SUM(G20:X20)</f>
        <v>5273.300000000001</v>
      </c>
      <c r="Z20" s="385"/>
      <c r="AA20" s="385"/>
      <c r="AB20" s="385"/>
      <c r="AC20" s="365">
        <f t="shared" si="3"/>
        <v>0</v>
      </c>
      <c r="AD20" s="366">
        <f t="shared" si="4"/>
        <v>5273.300000000001</v>
      </c>
      <c r="AE20" s="363">
        <f>B20+F20-AD20</f>
        <v>0</v>
      </c>
    </row>
    <row r="21" spans="1:31" s="212" customFormat="1" ht="28.5" customHeight="1">
      <c r="A21" s="217" t="s">
        <v>180</v>
      </c>
      <c r="B21" s="218"/>
      <c r="C21" s="219"/>
      <c r="D21" s="219"/>
      <c r="E21" s="376">
        <v>6937.6</v>
      </c>
      <c r="F21" s="362">
        <f t="shared" si="0"/>
        <v>6937.6</v>
      </c>
      <c r="G21" s="367">
        <v>5559.6</v>
      </c>
      <c r="H21" s="368">
        <v>785.4</v>
      </c>
      <c r="I21" s="368">
        <v>15.9</v>
      </c>
      <c r="J21" s="368">
        <v>16.4</v>
      </c>
      <c r="K21" s="368"/>
      <c r="L21" s="368">
        <v>467.4</v>
      </c>
      <c r="M21" s="368"/>
      <c r="N21" s="368">
        <v>3</v>
      </c>
      <c r="O21" s="368">
        <v>33.9</v>
      </c>
      <c r="P21" s="368"/>
      <c r="Q21" s="368"/>
      <c r="R21" s="368">
        <v>15</v>
      </c>
      <c r="S21" s="368"/>
      <c r="T21" s="368"/>
      <c r="U21" s="368">
        <v>6</v>
      </c>
      <c r="V21" s="368">
        <v>35</v>
      </c>
      <c r="W21" s="368"/>
      <c r="X21" s="368"/>
      <c r="Y21" s="368">
        <f>SUM(G21:X21)</f>
        <v>6937.5999999999985</v>
      </c>
      <c r="Z21" s="368"/>
      <c r="AA21" s="368"/>
      <c r="AB21" s="368"/>
      <c r="AC21" s="365">
        <f t="shared" si="3"/>
        <v>0</v>
      </c>
      <c r="AD21" s="366">
        <f t="shared" si="4"/>
        <v>6937.5999999999985</v>
      </c>
      <c r="AE21" s="363">
        <f>B21+F21-AD21</f>
        <v>0</v>
      </c>
    </row>
    <row r="22" spans="1:31" s="212" customFormat="1" ht="28.5" customHeight="1">
      <c r="A22" s="217" t="s">
        <v>102</v>
      </c>
      <c r="B22" s="218"/>
      <c r="C22" s="219"/>
      <c r="D22" s="219"/>
      <c r="E22" s="376">
        <v>3754.9</v>
      </c>
      <c r="F22" s="362">
        <f t="shared" si="0"/>
        <v>3754.9</v>
      </c>
      <c r="G22" s="367">
        <v>3246.9</v>
      </c>
      <c r="H22" s="368">
        <v>135</v>
      </c>
      <c r="I22" s="368">
        <v>14.5</v>
      </c>
      <c r="J22" s="368">
        <v>16.6</v>
      </c>
      <c r="K22" s="368"/>
      <c r="L22" s="368">
        <v>295.2</v>
      </c>
      <c r="M22" s="368"/>
      <c r="N22" s="368">
        <v>3</v>
      </c>
      <c r="O22" s="368">
        <v>14.2</v>
      </c>
      <c r="P22" s="368"/>
      <c r="Q22" s="368"/>
      <c r="R22" s="368">
        <v>15</v>
      </c>
      <c r="S22" s="368"/>
      <c r="T22" s="368"/>
      <c r="U22" s="368">
        <v>4.5</v>
      </c>
      <c r="V22" s="368">
        <v>10</v>
      </c>
      <c r="W22" s="368"/>
      <c r="X22" s="368"/>
      <c r="Y22" s="368">
        <f>SUM(G22:X22)</f>
        <v>3754.8999999999996</v>
      </c>
      <c r="Z22" s="368"/>
      <c r="AA22" s="368"/>
      <c r="AB22" s="368"/>
      <c r="AC22" s="365">
        <f t="shared" si="3"/>
        <v>0</v>
      </c>
      <c r="AD22" s="366">
        <f t="shared" si="4"/>
        <v>3754.8999999999996</v>
      </c>
      <c r="AE22" s="363">
        <f>B22+F22-AD22</f>
        <v>0</v>
      </c>
    </row>
    <row r="23" spans="1:31" s="212" customFormat="1" ht="28.5" customHeight="1" thickBot="1">
      <c r="A23" s="247" t="s">
        <v>51</v>
      </c>
      <c r="B23" s="254"/>
      <c r="C23" s="255"/>
      <c r="D23" s="255"/>
      <c r="E23" s="381">
        <v>2412.9</v>
      </c>
      <c r="F23" s="369">
        <f t="shared" si="0"/>
        <v>2412.9</v>
      </c>
      <c r="G23" s="370">
        <v>2193.2</v>
      </c>
      <c r="H23" s="371">
        <v>178.3</v>
      </c>
      <c r="I23" s="371">
        <v>6.8</v>
      </c>
      <c r="J23" s="371">
        <v>16.6</v>
      </c>
      <c r="K23" s="371"/>
      <c r="L23" s="371"/>
      <c r="M23" s="371"/>
      <c r="N23" s="371">
        <v>3</v>
      </c>
      <c r="O23" s="371"/>
      <c r="P23" s="371"/>
      <c r="Q23" s="371"/>
      <c r="R23" s="371">
        <v>10</v>
      </c>
      <c r="S23" s="371"/>
      <c r="T23" s="371"/>
      <c r="U23" s="371"/>
      <c r="V23" s="371">
        <v>5</v>
      </c>
      <c r="W23" s="371"/>
      <c r="X23" s="371"/>
      <c r="Y23" s="371">
        <f>SUM(G23:X23)</f>
        <v>2412.9</v>
      </c>
      <c r="Z23" s="371"/>
      <c r="AA23" s="371"/>
      <c r="AB23" s="371"/>
      <c r="AC23" s="372">
        <f t="shared" si="3"/>
        <v>0</v>
      </c>
      <c r="AD23" s="373">
        <f t="shared" si="4"/>
        <v>2412.9</v>
      </c>
      <c r="AE23" s="374">
        <f>B23+F23-AD23</f>
        <v>0</v>
      </c>
    </row>
    <row r="24" spans="1:31" s="23" customFormat="1" ht="28.5" customHeight="1" thickBot="1">
      <c r="A24" s="68" t="s">
        <v>156</v>
      </c>
      <c r="B24" s="278">
        <f aca="true" t="shared" si="7" ref="B24:J24">SUM(B19:B23)</f>
        <v>0</v>
      </c>
      <c r="C24" s="282">
        <f t="shared" si="7"/>
        <v>0</v>
      </c>
      <c r="D24" s="282">
        <f t="shared" si="7"/>
        <v>662.6</v>
      </c>
      <c r="E24" s="283">
        <f t="shared" si="7"/>
        <v>28658.200000000004</v>
      </c>
      <c r="F24" s="357">
        <f t="shared" si="0"/>
        <v>29320.800000000003</v>
      </c>
      <c r="G24" s="358">
        <f t="shared" si="7"/>
        <v>26709.600000000002</v>
      </c>
      <c r="H24" s="359">
        <f t="shared" si="7"/>
        <v>1410.3999999999999</v>
      </c>
      <c r="I24" s="359">
        <f t="shared" si="7"/>
        <v>80.1</v>
      </c>
      <c r="J24" s="359">
        <f t="shared" si="7"/>
        <v>92.4</v>
      </c>
      <c r="K24" s="359">
        <f aca="true" t="shared" si="8" ref="K24:P24">SUM(K19:K23)</f>
        <v>0</v>
      </c>
      <c r="L24" s="359">
        <f t="shared" si="8"/>
        <v>762.5999999999999</v>
      </c>
      <c r="M24" s="359">
        <f t="shared" si="8"/>
        <v>0</v>
      </c>
      <c r="N24" s="359">
        <f t="shared" si="8"/>
        <v>15</v>
      </c>
      <c r="O24" s="359">
        <f t="shared" si="8"/>
        <v>69.8</v>
      </c>
      <c r="P24" s="359">
        <f t="shared" si="8"/>
        <v>0</v>
      </c>
      <c r="Q24" s="359"/>
      <c r="R24" s="359">
        <f aca="true" t="shared" si="9" ref="R24:X24">SUM(R19:R23)</f>
        <v>78.4</v>
      </c>
      <c r="S24" s="359">
        <f t="shared" si="9"/>
        <v>0</v>
      </c>
      <c r="T24" s="359">
        <f t="shared" si="9"/>
        <v>0</v>
      </c>
      <c r="U24" s="359">
        <f t="shared" si="9"/>
        <v>10.5</v>
      </c>
      <c r="V24" s="359">
        <f t="shared" si="9"/>
        <v>92</v>
      </c>
      <c r="W24" s="359">
        <f t="shared" si="9"/>
        <v>0</v>
      </c>
      <c r="X24" s="359">
        <f t="shared" si="9"/>
        <v>0</v>
      </c>
      <c r="Y24" s="359">
        <f aca="true" t="shared" si="10" ref="Y24:AE24">SUM(Y19:Y23)</f>
        <v>29320.800000000003</v>
      </c>
      <c r="Z24" s="359">
        <f t="shared" si="10"/>
        <v>0</v>
      </c>
      <c r="AA24" s="359">
        <f t="shared" si="10"/>
        <v>0</v>
      </c>
      <c r="AB24" s="359">
        <f t="shared" si="10"/>
        <v>0</v>
      </c>
      <c r="AC24" s="360">
        <f t="shared" si="10"/>
        <v>0</v>
      </c>
      <c r="AD24" s="359">
        <f t="shared" si="10"/>
        <v>29320.800000000003</v>
      </c>
      <c r="AE24" s="361">
        <f t="shared" si="10"/>
        <v>0</v>
      </c>
    </row>
    <row r="25" spans="1:31" s="212" customFormat="1" ht="28.5" customHeight="1">
      <c r="A25" s="210" t="s">
        <v>140</v>
      </c>
      <c r="B25" s="223"/>
      <c r="C25" s="224"/>
      <c r="D25" s="224"/>
      <c r="E25" s="260">
        <v>4710.9</v>
      </c>
      <c r="F25" s="362">
        <f t="shared" si="0"/>
        <v>4710.9</v>
      </c>
      <c r="G25" s="363">
        <v>4650.3</v>
      </c>
      <c r="H25" s="364">
        <v>9.8</v>
      </c>
      <c r="I25" s="364">
        <v>9.5</v>
      </c>
      <c r="J25" s="364">
        <v>16.8</v>
      </c>
      <c r="K25" s="364"/>
      <c r="L25" s="364"/>
      <c r="M25" s="364"/>
      <c r="N25" s="364">
        <v>3</v>
      </c>
      <c r="O25" s="364"/>
      <c r="P25" s="364"/>
      <c r="Q25" s="364"/>
      <c r="R25" s="364">
        <v>10</v>
      </c>
      <c r="S25" s="364"/>
      <c r="T25" s="364"/>
      <c r="U25" s="364"/>
      <c r="V25" s="364">
        <v>11.5</v>
      </c>
      <c r="W25" s="364"/>
      <c r="X25" s="364"/>
      <c r="Y25" s="364">
        <f>SUM(G25:X25)</f>
        <v>4710.900000000001</v>
      </c>
      <c r="Z25" s="364"/>
      <c r="AA25" s="364"/>
      <c r="AB25" s="364"/>
      <c r="AC25" s="365">
        <f t="shared" si="3"/>
        <v>0</v>
      </c>
      <c r="AD25" s="366">
        <f t="shared" si="4"/>
        <v>4710.900000000001</v>
      </c>
      <c r="AE25" s="363">
        <f>B25+F25-AD25</f>
        <v>0</v>
      </c>
    </row>
    <row r="26" spans="1:31" s="212" customFormat="1" ht="28.5" customHeight="1">
      <c r="A26" s="217" t="s">
        <v>24</v>
      </c>
      <c r="B26" s="218"/>
      <c r="C26" s="219"/>
      <c r="D26" s="219"/>
      <c r="E26" s="261">
        <v>3126.4</v>
      </c>
      <c r="F26" s="362">
        <f t="shared" si="0"/>
        <v>3126.4</v>
      </c>
      <c r="G26" s="367">
        <v>2743.1</v>
      </c>
      <c r="H26" s="368">
        <v>155.3</v>
      </c>
      <c r="I26" s="368">
        <v>7</v>
      </c>
      <c r="J26" s="368">
        <v>7</v>
      </c>
      <c r="K26" s="368"/>
      <c r="L26" s="368"/>
      <c r="M26" s="368"/>
      <c r="N26" s="368">
        <v>3</v>
      </c>
      <c r="O26" s="368"/>
      <c r="P26" s="368"/>
      <c r="Q26" s="368"/>
      <c r="R26" s="368">
        <v>11</v>
      </c>
      <c r="S26" s="368">
        <v>100</v>
      </c>
      <c r="T26" s="368"/>
      <c r="U26" s="368"/>
      <c r="V26" s="368">
        <v>100</v>
      </c>
      <c r="W26" s="368"/>
      <c r="X26" s="368"/>
      <c r="Y26" s="368">
        <f>SUM(G26:X26)</f>
        <v>3126.4</v>
      </c>
      <c r="Z26" s="368"/>
      <c r="AA26" s="368"/>
      <c r="AB26" s="368"/>
      <c r="AC26" s="365">
        <f t="shared" si="3"/>
        <v>0</v>
      </c>
      <c r="AD26" s="366">
        <f t="shared" si="4"/>
        <v>3126.4</v>
      </c>
      <c r="AE26" s="363">
        <f>B26+F26-AD26</f>
        <v>0</v>
      </c>
    </row>
    <row r="27" spans="1:31" s="212" customFormat="1" ht="28.5" customHeight="1">
      <c r="A27" s="217" t="s">
        <v>25</v>
      </c>
      <c r="B27" s="218"/>
      <c r="C27" s="219"/>
      <c r="D27" s="219"/>
      <c r="E27" s="261">
        <v>5671.8</v>
      </c>
      <c r="F27" s="362">
        <f t="shared" si="0"/>
        <v>5671.8</v>
      </c>
      <c r="G27" s="367">
        <v>5573.9</v>
      </c>
      <c r="H27" s="368">
        <v>15.2</v>
      </c>
      <c r="I27" s="368">
        <v>11.1</v>
      </c>
      <c r="J27" s="368">
        <v>23.6</v>
      </c>
      <c r="K27" s="368"/>
      <c r="L27" s="368"/>
      <c r="M27" s="368"/>
      <c r="N27" s="368">
        <v>3</v>
      </c>
      <c r="O27" s="368"/>
      <c r="P27" s="368"/>
      <c r="Q27" s="368"/>
      <c r="R27" s="368">
        <v>20</v>
      </c>
      <c r="S27" s="368"/>
      <c r="T27" s="368"/>
      <c r="U27" s="368"/>
      <c r="V27" s="368">
        <v>25</v>
      </c>
      <c r="W27" s="368"/>
      <c r="X27" s="368"/>
      <c r="Y27" s="368">
        <f>SUM(G27:X27)</f>
        <v>5671.8</v>
      </c>
      <c r="Z27" s="368"/>
      <c r="AA27" s="368"/>
      <c r="AB27" s="368"/>
      <c r="AC27" s="365">
        <f t="shared" si="3"/>
        <v>0</v>
      </c>
      <c r="AD27" s="366">
        <f t="shared" si="4"/>
        <v>5671.8</v>
      </c>
      <c r="AE27" s="363">
        <f>B27+F27-AD27</f>
        <v>0</v>
      </c>
    </row>
    <row r="28" spans="1:31" s="212" customFormat="1" ht="28.5" customHeight="1">
      <c r="A28" s="217" t="s">
        <v>89</v>
      </c>
      <c r="B28" s="218"/>
      <c r="C28" s="219"/>
      <c r="D28" s="219"/>
      <c r="E28" s="261">
        <v>314</v>
      </c>
      <c r="F28" s="362">
        <f t="shared" si="0"/>
        <v>314</v>
      </c>
      <c r="G28" s="367">
        <v>285</v>
      </c>
      <c r="H28" s="368"/>
      <c r="I28" s="368"/>
      <c r="J28" s="368">
        <v>7</v>
      </c>
      <c r="K28" s="368"/>
      <c r="L28" s="368"/>
      <c r="M28" s="368"/>
      <c r="N28" s="368">
        <v>3</v>
      </c>
      <c r="O28" s="368"/>
      <c r="P28" s="368"/>
      <c r="Q28" s="368"/>
      <c r="R28" s="368">
        <v>14</v>
      </c>
      <c r="S28" s="368"/>
      <c r="T28" s="368"/>
      <c r="U28" s="368"/>
      <c r="V28" s="368">
        <v>5</v>
      </c>
      <c r="W28" s="368"/>
      <c r="X28" s="368"/>
      <c r="Y28" s="368">
        <f>SUM(G28:X28)</f>
        <v>314</v>
      </c>
      <c r="Z28" s="368"/>
      <c r="AA28" s="368"/>
      <c r="AB28" s="368"/>
      <c r="AC28" s="365">
        <f t="shared" si="3"/>
        <v>0</v>
      </c>
      <c r="AD28" s="366">
        <f t="shared" si="4"/>
        <v>314</v>
      </c>
      <c r="AE28" s="363">
        <f>B28+F28-AD28</f>
        <v>0</v>
      </c>
    </row>
    <row r="29" spans="1:31" s="212" customFormat="1" ht="28.5" customHeight="1" thickBot="1">
      <c r="A29" s="247" t="s">
        <v>115</v>
      </c>
      <c r="B29" s="254"/>
      <c r="C29" s="255"/>
      <c r="D29" s="255"/>
      <c r="E29" s="262">
        <v>4688.2</v>
      </c>
      <c r="F29" s="369">
        <f t="shared" si="0"/>
        <v>4688.2</v>
      </c>
      <c r="G29" s="370">
        <v>1283.7</v>
      </c>
      <c r="H29" s="371">
        <v>3043.2</v>
      </c>
      <c r="I29" s="371"/>
      <c r="J29" s="371">
        <v>16.6</v>
      </c>
      <c r="K29" s="371"/>
      <c r="L29" s="371"/>
      <c r="M29" s="371"/>
      <c r="N29" s="371">
        <v>3</v>
      </c>
      <c r="O29" s="371"/>
      <c r="P29" s="371"/>
      <c r="Q29" s="371"/>
      <c r="R29" s="371">
        <v>12</v>
      </c>
      <c r="S29" s="371"/>
      <c r="T29" s="371">
        <v>329.7</v>
      </c>
      <c r="U29" s="371"/>
      <c r="V29" s="371"/>
      <c r="W29" s="371"/>
      <c r="X29" s="371"/>
      <c r="Y29" s="371">
        <f>SUM(G29:X29)</f>
        <v>4688.2</v>
      </c>
      <c r="Z29" s="371"/>
      <c r="AA29" s="371"/>
      <c r="AB29" s="371"/>
      <c r="AC29" s="372">
        <f t="shared" si="3"/>
        <v>0</v>
      </c>
      <c r="AD29" s="373">
        <f t="shared" si="4"/>
        <v>4688.2</v>
      </c>
      <c r="AE29" s="374">
        <f>B29+F29-AD29</f>
        <v>0</v>
      </c>
    </row>
    <row r="30" spans="1:31" s="52" customFormat="1" ht="33" customHeight="1" thickBot="1">
      <c r="A30" s="256" t="s">
        <v>153</v>
      </c>
      <c r="B30" s="351">
        <f>SUM(B18+B24+B25+B26+B27+B28+B29)</f>
        <v>0</v>
      </c>
      <c r="C30" s="351">
        <f aca="true" t="shared" si="11" ref="C30:AE30">SUM(C18+C24+C25+C26+C27+C28+C29)</f>
        <v>0</v>
      </c>
      <c r="D30" s="351">
        <f t="shared" si="11"/>
        <v>662.6</v>
      </c>
      <c r="E30" s="352">
        <f t="shared" si="11"/>
        <v>89406.1</v>
      </c>
      <c r="F30" s="353">
        <f t="shared" si="0"/>
        <v>90068.70000000001</v>
      </c>
      <c r="G30" s="351">
        <f t="shared" si="11"/>
        <v>82533</v>
      </c>
      <c r="H30" s="351">
        <f t="shared" si="11"/>
        <v>4633.9</v>
      </c>
      <c r="I30" s="351">
        <f t="shared" si="11"/>
        <v>107.69999999999999</v>
      </c>
      <c r="J30" s="351">
        <f t="shared" si="11"/>
        <v>356.80000000000007</v>
      </c>
      <c r="K30" s="351">
        <f t="shared" si="11"/>
        <v>0</v>
      </c>
      <c r="L30" s="351">
        <f t="shared" si="11"/>
        <v>762.5999999999999</v>
      </c>
      <c r="M30" s="351">
        <f t="shared" si="11"/>
        <v>0</v>
      </c>
      <c r="N30" s="354">
        <f t="shared" si="11"/>
        <v>60</v>
      </c>
      <c r="O30" s="351">
        <f t="shared" si="11"/>
        <v>80.6</v>
      </c>
      <c r="P30" s="351">
        <f t="shared" si="11"/>
        <v>0</v>
      </c>
      <c r="Q30" s="351">
        <f t="shared" si="11"/>
        <v>0</v>
      </c>
      <c r="R30" s="351">
        <f t="shared" si="11"/>
        <v>305.4</v>
      </c>
      <c r="S30" s="351">
        <f t="shared" si="11"/>
        <v>100</v>
      </c>
      <c r="T30" s="351">
        <f t="shared" si="11"/>
        <v>329.7</v>
      </c>
      <c r="U30" s="351">
        <f t="shared" si="11"/>
        <v>75.49999999999999</v>
      </c>
      <c r="V30" s="351">
        <f t="shared" si="11"/>
        <v>723.5</v>
      </c>
      <c r="W30" s="351">
        <f t="shared" si="11"/>
        <v>0</v>
      </c>
      <c r="X30" s="351">
        <f t="shared" si="11"/>
        <v>0</v>
      </c>
      <c r="Y30" s="351">
        <f t="shared" si="11"/>
        <v>90068.7</v>
      </c>
      <c r="Z30" s="351">
        <f t="shared" si="11"/>
        <v>0</v>
      </c>
      <c r="AA30" s="351">
        <f>SUM(AA18+AA24+AA25+AA26+AA27+AA28+AA29)</f>
        <v>0</v>
      </c>
      <c r="AB30" s="351">
        <f t="shared" si="11"/>
        <v>0</v>
      </c>
      <c r="AC30" s="352">
        <f t="shared" si="11"/>
        <v>0</v>
      </c>
      <c r="AD30" s="355">
        <f t="shared" si="11"/>
        <v>90068.7</v>
      </c>
      <c r="AE30" s="356">
        <f t="shared" si="11"/>
        <v>0</v>
      </c>
    </row>
  </sheetData>
  <sheetProtection/>
  <mergeCells count="1">
    <mergeCell ref="A2:M2"/>
  </mergeCells>
  <printOptions/>
  <pageMargins left="0.15" right="0.15" top="0.14" bottom="0.13" header="0.14" footer="0.13"/>
  <pageSetup horizontalDpi="600" verticalDpi="600" orientation="portrait" paperSize="9" scale="99" r:id="rId1"/>
  <rowBreaks count="1" manualBreakCount="1">
    <brk id="3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1"/>
  <sheetViews>
    <sheetView view="pageBreakPreview" zoomScaleSheetLayoutView="100" workbookViewId="0" topLeftCell="A1">
      <pane xSplit="1" ySplit="3" topLeftCell="M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L11" sqref="BL11"/>
    </sheetView>
  </sheetViews>
  <sheetFormatPr defaultColWidth="9.140625" defaultRowHeight="12.75"/>
  <cols>
    <col min="1" max="1" width="21.57421875" style="21" customWidth="1"/>
    <col min="2" max="2" width="9.28125" style="21" customWidth="1"/>
    <col min="3" max="3" width="7.140625" style="21" customWidth="1"/>
    <col min="4" max="4" width="5.57421875" style="21" customWidth="1"/>
    <col min="5" max="5" width="9.57421875" style="21" customWidth="1"/>
    <col min="6" max="6" width="10.00390625" style="21" customWidth="1"/>
    <col min="7" max="7" width="10.00390625" style="21" hidden="1" customWidth="1"/>
    <col min="8" max="10" width="10.00390625" style="21" customWidth="1"/>
    <col min="11" max="12" width="9.28125" style="21" customWidth="1"/>
    <col min="13" max="13" width="6.57421875" style="21" customWidth="1"/>
    <col min="14" max="14" width="9.28125" style="21" customWidth="1"/>
    <col min="15" max="15" width="9.28125" style="21" hidden="1" customWidth="1"/>
    <col min="16" max="16" width="9.28125" style="21" customWidth="1"/>
    <col min="17" max="17" width="9.28125" style="21" hidden="1" customWidth="1"/>
    <col min="18" max="18" width="8.28125" style="21" customWidth="1"/>
    <col min="19" max="19" width="7.28125" style="21" customWidth="1"/>
    <col min="20" max="21" width="9.28125" style="21" hidden="1" customWidth="1"/>
    <col min="22" max="22" width="9.28125" style="21" customWidth="1"/>
    <col min="23" max="23" width="6.57421875" style="21" customWidth="1"/>
    <col min="24" max="24" width="9.28125" style="21" customWidth="1"/>
    <col min="25" max="25" width="6.7109375" style="21" customWidth="1"/>
    <col min="26" max="26" width="7.421875" style="21" customWidth="1"/>
    <col min="27" max="28" width="9.28125" style="21" hidden="1" customWidth="1"/>
    <col min="29" max="29" width="9.28125" style="21" customWidth="1"/>
    <col min="30" max="33" width="9.28125" style="21" hidden="1" customWidth="1"/>
    <col min="34" max="34" width="9.28125" style="21" customWidth="1"/>
    <col min="35" max="38" width="8.00390625" style="21" customWidth="1"/>
    <col min="39" max="42" width="8.00390625" style="21" hidden="1" customWidth="1"/>
    <col min="43" max="43" width="8.00390625" style="21" customWidth="1"/>
    <col min="44" max="47" width="8.00390625" style="44" hidden="1" customWidth="1"/>
    <col min="48" max="48" width="6.140625" style="44" customWidth="1"/>
    <col min="49" max="52" width="8.00390625" style="44" hidden="1" customWidth="1"/>
    <col min="53" max="53" width="8.00390625" style="44" customWidth="1"/>
    <col min="54" max="57" width="8.00390625" style="44" hidden="1" customWidth="1"/>
    <col min="58" max="58" width="8.57421875" style="44" customWidth="1"/>
    <col min="59" max="60" width="5.8515625" style="44" hidden="1" customWidth="1"/>
    <col min="61" max="62" width="8.57421875" style="21" customWidth="1"/>
    <col min="63" max="16384" width="9.140625" style="21" customWidth="1"/>
  </cols>
  <sheetData>
    <row r="1" spans="1:62" s="5" customFormat="1" ht="15.75" customHeight="1" thickBot="1">
      <c r="A1" s="550" t="s">
        <v>205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</row>
    <row r="2" spans="1:62" s="93" customFormat="1" ht="30" customHeight="1" thickBot="1">
      <c r="A2" s="554"/>
      <c r="B2" s="551" t="s">
        <v>193</v>
      </c>
      <c r="C2" s="552"/>
      <c r="D2" s="552"/>
      <c r="E2" s="552"/>
      <c r="F2" s="553"/>
      <c r="G2" s="556"/>
      <c r="H2" s="556"/>
      <c r="I2" s="556"/>
      <c r="J2" s="557"/>
      <c r="K2" s="558" t="s">
        <v>124</v>
      </c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60"/>
      <c r="AI2" s="547" t="s">
        <v>206</v>
      </c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9"/>
    </row>
    <row r="3" spans="1:62" s="6" customFormat="1" ht="56.25" customHeight="1" thickBot="1">
      <c r="A3" s="555"/>
      <c r="B3" s="32" t="s">
        <v>121</v>
      </c>
      <c r="C3" s="33" t="s">
        <v>5</v>
      </c>
      <c r="D3" s="33" t="s">
        <v>6</v>
      </c>
      <c r="E3" s="280" t="s">
        <v>122</v>
      </c>
      <c r="F3" s="250" t="s">
        <v>123</v>
      </c>
      <c r="G3" s="39" t="s">
        <v>117</v>
      </c>
      <c r="H3" s="39" t="s">
        <v>111</v>
      </c>
      <c r="I3" s="39" t="s">
        <v>118</v>
      </c>
      <c r="J3" s="40" t="s">
        <v>116</v>
      </c>
      <c r="K3" s="27">
        <v>4111</v>
      </c>
      <c r="L3" s="28">
        <v>4212</v>
      </c>
      <c r="M3" s="28">
        <v>4213</v>
      </c>
      <c r="N3" s="28">
        <v>4214</v>
      </c>
      <c r="O3" s="28">
        <v>4215</v>
      </c>
      <c r="P3" s="274" t="s">
        <v>185</v>
      </c>
      <c r="Q3" s="28">
        <v>4234</v>
      </c>
      <c r="R3" s="28">
        <v>4239</v>
      </c>
      <c r="S3" s="28">
        <v>4241</v>
      </c>
      <c r="T3" s="28">
        <v>4251</v>
      </c>
      <c r="U3" s="28">
        <v>4252</v>
      </c>
      <c r="V3" s="28">
        <v>4261</v>
      </c>
      <c r="W3" s="28">
        <v>4262</v>
      </c>
      <c r="X3" s="28" t="s">
        <v>54</v>
      </c>
      <c r="Y3" s="28">
        <v>4266</v>
      </c>
      <c r="Z3" s="28" t="s">
        <v>55</v>
      </c>
      <c r="AA3" s="28" t="s">
        <v>2</v>
      </c>
      <c r="AB3" s="28">
        <v>4823</v>
      </c>
      <c r="AC3" s="29" t="s">
        <v>19</v>
      </c>
      <c r="AD3" s="30" t="s">
        <v>59</v>
      </c>
      <c r="AE3" s="30" t="s">
        <v>53</v>
      </c>
      <c r="AF3" s="30" t="s">
        <v>61</v>
      </c>
      <c r="AG3" s="81" t="s">
        <v>183</v>
      </c>
      <c r="AH3" s="266" t="s">
        <v>184</v>
      </c>
      <c r="AI3" s="45">
        <v>4111</v>
      </c>
      <c r="AJ3" s="46">
        <v>4212</v>
      </c>
      <c r="AK3" s="46">
        <v>4213</v>
      </c>
      <c r="AL3" s="46">
        <v>4214</v>
      </c>
      <c r="AM3" s="46">
        <v>4215</v>
      </c>
      <c r="AN3" s="275" t="s">
        <v>185</v>
      </c>
      <c r="AO3" s="46">
        <v>4234</v>
      </c>
      <c r="AP3" s="46">
        <v>4239</v>
      </c>
      <c r="AQ3" s="46">
        <v>4241</v>
      </c>
      <c r="AR3" s="46">
        <v>4251</v>
      </c>
      <c r="AS3" s="46">
        <v>4252</v>
      </c>
      <c r="AT3" s="46">
        <v>4261</v>
      </c>
      <c r="AU3" s="46">
        <v>4262</v>
      </c>
      <c r="AV3" s="46" t="s">
        <v>54</v>
      </c>
      <c r="AW3" s="46">
        <v>4266</v>
      </c>
      <c r="AX3" s="46" t="s">
        <v>55</v>
      </c>
      <c r="AY3" s="46" t="s">
        <v>2</v>
      </c>
      <c r="AZ3" s="46">
        <v>4823</v>
      </c>
      <c r="BA3" s="47" t="s">
        <v>125</v>
      </c>
      <c r="BB3" s="48" t="s">
        <v>59</v>
      </c>
      <c r="BC3" s="48" t="s">
        <v>53</v>
      </c>
      <c r="BD3" s="48" t="s">
        <v>61</v>
      </c>
      <c r="BE3" s="49" t="s">
        <v>126</v>
      </c>
      <c r="BF3" s="51" t="s">
        <v>127</v>
      </c>
      <c r="BG3" s="50" t="s">
        <v>117</v>
      </c>
      <c r="BH3" s="39" t="s">
        <v>111</v>
      </c>
      <c r="BI3" s="50" t="s">
        <v>189</v>
      </c>
      <c r="BJ3" s="50" t="s">
        <v>116</v>
      </c>
    </row>
    <row r="4" spans="1:62" s="8" customFormat="1" ht="25.5" customHeight="1">
      <c r="A4" s="67" t="s">
        <v>145</v>
      </c>
      <c r="B4" s="74">
        <v>63.9</v>
      </c>
      <c r="C4" s="75">
        <v>5.8</v>
      </c>
      <c r="D4" s="75"/>
      <c r="E4" s="279">
        <f>B4+C4+D4</f>
        <v>69.7</v>
      </c>
      <c r="F4" s="38">
        <f>E4</f>
        <v>69.7</v>
      </c>
      <c r="G4" s="41"/>
      <c r="H4" s="41"/>
      <c r="I4" s="86">
        <f aca="true" t="shared" si="0" ref="I4:I15">AH4-G4-H4</f>
        <v>3531.7999999999997</v>
      </c>
      <c r="J4" s="87">
        <f>G4+I4+H4</f>
        <v>3531.7999999999997</v>
      </c>
      <c r="K4" s="25">
        <v>3330.1</v>
      </c>
      <c r="L4" s="26">
        <v>13.2</v>
      </c>
      <c r="M4" s="26"/>
      <c r="N4" s="26">
        <v>25.2</v>
      </c>
      <c r="O4" s="26"/>
      <c r="P4" s="26"/>
      <c r="Q4" s="26"/>
      <c r="R4" s="26">
        <v>3</v>
      </c>
      <c r="S4" s="26">
        <v>126</v>
      </c>
      <c r="T4" s="26"/>
      <c r="U4" s="26"/>
      <c r="V4" s="26">
        <v>14</v>
      </c>
      <c r="W4" s="26"/>
      <c r="X4" s="26"/>
      <c r="Y4" s="26">
        <v>5.3</v>
      </c>
      <c r="Z4" s="26">
        <v>15</v>
      </c>
      <c r="AA4" s="26"/>
      <c r="AB4" s="26"/>
      <c r="AC4" s="88">
        <f aca="true" t="shared" si="1" ref="AC4:AC15">SUM(K4:AB4)</f>
        <v>3531.7999999999997</v>
      </c>
      <c r="AD4" s="26"/>
      <c r="AE4" s="26"/>
      <c r="AF4" s="26"/>
      <c r="AG4" s="88">
        <f>SUM(AD4:AF4)</f>
        <v>0</v>
      </c>
      <c r="AH4" s="88">
        <f>SUM(AC4,AG4)</f>
        <v>3531.7999999999997</v>
      </c>
      <c r="AI4" s="86">
        <f>K4-'hoaki dram18'!G6</f>
        <v>0</v>
      </c>
      <c r="AJ4" s="86">
        <f>L4-'hoaki dram18'!H6-B4</f>
        <v>-50.7</v>
      </c>
      <c r="AK4" s="86">
        <f>M4-'hoaki dram18'!I6-C4</f>
        <v>-5.8</v>
      </c>
      <c r="AL4" s="86">
        <f>N4-'hoaki dram18'!J6-D4</f>
        <v>8.399999999999999</v>
      </c>
      <c r="AM4" s="86">
        <f>O4-'hoaki dram18'!K6</f>
        <v>0</v>
      </c>
      <c r="AN4" s="86">
        <f>P4-'hoaki dram18'!L6</f>
        <v>0</v>
      </c>
      <c r="AO4" s="86">
        <f>Q4-'hoaki dram18'!M6</f>
        <v>0</v>
      </c>
      <c r="AP4" s="86">
        <f>R4-'hoaki dram18'!N6</f>
        <v>0</v>
      </c>
      <c r="AQ4" s="86">
        <f>S4-'hoaki dram18'!O6</f>
        <v>126</v>
      </c>
      <c r="AR4" s="86">
        <f>T4-'hoaki dram18'!P6</f>
        <v>0</v>
      </c>
      <c r="AS4" s="86">
        <f>U4-'hoaki dram18'!Q6</f>
        <v>0</v>
      </c>
      <c r="AT4" s="86">
        <f>V4-'hoaki dram18'!R6</f>
        <v>0</v>
      </c>
      <c r="AU4" s="86">
        <f>W4-'hoaki dram18'!S6</f>
        <v>0</v>
      </c>
      <c r="AV4" s="86">
        <f>X4-'hoaki dram18'!T6</f>
        <v>0</v>
      </c>
      <c r="AW4" s="86">
        <f>Y4-'hoaki dram18'!U6</f>
        <v>0</v>
      </c>
      <c r="AX4" s="86">
        <f>Z4-'hoaki dram18'!V6</f>
        <v>0</v>
      </c>
      <c r="AY4" s="86">
        <f>AA4-'hoaki dram18'!W6</f>
        <v>0</v>
      </c>
      <c r="AZ4" s="86">
        <f>AB4-'hoaki dram18'!X6</f>
        <v>0</v>
      </c>
      <c r="BA4" s="86">
        <f aca="true" t="shared" si="2" ref="BA4:BA15">AI4+AJ4+AK4+AL4+AM4+AN4+AO4+AP4+AQ4+AR4+AS4+AV4++AX4+AY4+AZ4+AW4+AT4+AU4</f>
        <v>77.9</v>
      </c>
      <c r="BB4" s="86">
        <f>AD4-'hoaki dram18'!Z6</f>
        <v>0</v>
      </c>
      <c r="BC4" s="86">
        <f>AE4-'hoaki dram18'!AA6</f>
        <v>0</v>
      </c>
      <c r="BD4" s="86">
        <f>AF4-'hoaki dram18'!AB6</f>
        <v>0</v>
      </c>
      <c r="BE4" s="86">
        <f>BB4+BC4+BD4</f>
        <v>0</v>
      </c>
      <c r="BF4" s="86">
        <f>BA4+BE4</f>
        <v>77.9</v>
      </c>
      <c r="BG4" s="91">
        <f>G4-'hoaki dram18'!C6</f>
        <v>0</v>
      </c>
      <c r="BH4" s="91">
        <f>H4-'hoaki dram18'!D6</f>
        <v>0</v>
      </c>
      <c r="BI4" s="91">
        <f>I4-'hoaki dram18'!E6-F4</f>
        <v>77.8999999999999</v>
      </c>
      <c r="BJ4" s="91">
        <f>BG4+BH4+BI4</f>
        <v>77.8999999999999</v>
      </c>
    </row>
    <row r="5" spans="1:62" s="8" customFormat="1" ht="25.5" customHeight="1">
      <c r="A5" s="67" t="s">
        <v>144</v>
      </c>
      <c r="B5" s="35">
        <v>0.3</v>
      </c>
      <c r="C5" s="34">
        <v>0.4</v>
      </c>
      <c r="D5" s="34">
        <v>0.2</v>
      </c>
      <c r="E5" s="279">
        <f aca="true" t="shared" si="3" ref="E5:E27">B5+C5+D5</f>
        <v>0.8999999999999999</v>
      </c>
      <c r="F5" s="38">
        <f aca="true" t="shared" si="4" ref="F5:F27">E5</f>
        <v>0.8999999999999999</v>
      </c>
      <c r="G5" s="42"/>
      <c r="H5" s="42"/>
      <c r="I5" s="86">
        <f t="shared" si="0"/>
        <v>2603.2000000000003</v>
      </c>
      <c r="J5" s="87">
        <f aca="true" t="shared" si="5" ref="J5:J27">G5+I5+H5</f>
        <v>2603.2000000000003</v>
      </c>
      <c r="K5" s="24">
        <v>2544.6</v>
      </c>
      <c r="L5" s="7">
        <v>4.9</v>
      </c>
      <c r="M5" s="7"/>
      <c r="N5" s="7">
        <v>24.9</v>
      </c>
      <c r="O5" s="7"/>
      <c r="P5" s="7"/>
      <c r="Q5" s="7"/>
      <c r="R5" s="7">
        <v>3</v>
      </c>
      <c r="S5" s="7"/>
      <c r="T5" s="7"/>
      <c r="U5" s="7"/>
      <c r="V5" s="7">
        <v>9</v>
      </c>
      <c r="W5" s="7"/>
      <c r="X5" s="7"/>
      <c r="Y5" s="7">
        <v>3.8</v>
      </c>
      <c r="Z5" s="7">
        <v>13</v>
      </c>
      <c r="AA5" s="7"/>
      <c r="AB5" s="7"/>
      <c r="AC5" s="89">
        <f t="shared" si="1"/>
        <v>2603.2000000000003</v>
      </c>
      <c r="AD5" s="7"/>
      <c r="AE5" s="7"/>
      <c r="AF5" s="7"/>
      <c r="AG5" s="89">
        <f aca="true" t="shared" si="6" ref="AG5:AG15">SUM(AD5:AF5)</f>
        <v>0</v>
      </c>
      <c r="AH5" s="89">
        <f aca="true" t="shared" si="7" ref="AH5:AH15">SUM(AC5,AG5)</f>
        <v>2603.2000000000003</v>
      </c>
      <c r="AI5" s="86">
        <f>K5-'hoaki dram18'!G7</f>
        <v>0</v>
      </c>
      <c r="AJ5" s="86">
        <f>L5-'hoaki dram18'!H7-B5</f>
        <v>4.6000000000000005</v>
      </c>
      <c r="AK5" s="86">
        <f>M5-'hoaki dram18'!I7-C5</f>
        <v>-0.4</v>
      </c>
      <c r="AL5" s="86">
        <f>N5-'hoaki dram18'!J7-D5</f>
        <v>8.3</v>
      </c>
      <c r="AM5" s="86">
        <f>O5-'hoaki dram18'!K7</f>
        <v>0</v>
      </c>
      <c r="AN5" s="86">
        <f>P5-'hoaki dram18'!L7</f>
        <v>0</v>
      </c>
      <c r="AO5" s="86">
        <f>Q5-'hoaki dram18'!M7</f>
        <v>0</v>
      </c>
      <c r="AP5" s="86">
        <f>R5-'hoaki dram18'!N7</f>
        <v>0</v>
      </c>
      <c r="AQ5" s="86">
        <f>S5-'hoaki dram18'!O7</f>
        <v>0</v>
      </c>
      <c r="AR5" s="86">
        <f>T5-'hoaki dram18'!P7</f>
        <v>0</v>
      </c>
      <c r="AS5" s="86">
        <f>U5-'hoaki dram18'!Q7</f>
        <v>0</v>
      </c>
      <c r="AT5" s="86">
        <f>V5-'hoaki dram18'!R7</f>
        <v>0</v>
      </c>
      <c r="AU5" s="86">
        <f>W5-'hoaki dram18'!S7</f>
        <v>0</v>
      </c>
      <c r="AV5" s="86">
        <f>X5-'hoaki dram18'!T7</f>
        <v>0</v>
      </c>
      <c r="AW5" s="86">
        <f>Y5-'hoaki dram18'!U7</f>
        <v>0</v>
      </c>
      <c r="AX5" s="86">
        <f>Z5-'hoaki dram18'!V7</f>
        <v>0</v>
      </c>
      <c r="AY5" s="86">
        <f>AA5-'hoaki dram18'!W7</f>
        <v>0</v>
      </c>
      <c r="AZ5" s="86">
        <f>AB5-'hoaki dram18'!X7</f>
        <v>0</v>
      </c>
      <c r="BA5" s="86">
        <f t="shared" si="2"/>
        <v>12.5</v>
      </c>
      <c r="BB5" s="86">
        <f>AD5-'hoaki dram18'!Z7</f>
        <v>0</v>
      </c>
      <c r="BC5" s="86">
        <f>AE5-'hoaki dram18'!AA7</f>
        <v>0</v>
      </c>
      <c r="BD5" s="86">
        <f>AF5-'hoaki dram18'!AB7</f>
        <v>0</v>
      </c>
      <c r="BE5" s="86">
        <f aca="true" t="shared" si="8" ref="BE5:BE15">BB5+BC5+BD5</f>
        <v>0</v>
      </c>
      <c r="BF5" s="86">
        <f>BA5+BE5</f>
        <v>12.5</v>
      </c>
      <c r="BG5" s="91">
        <f>G5-'hoaki dram18'!C7</f>
        <v>0</v>
      </c>
      <c r="BH5" s="91">
        <f>H5-'hoaki dram18'!D7</f>
        <v>0</v>
      </c>
      <c r="BI5" s="91">
        <f>I5-'hoaki dram18'!E7-F5</f>
        <v>12.50000000000009</v>
      </c>
      <c r="BJ5" s="91">
        <f aca="true" t="shared" si="9" ref="BJ5:BJ27">BG5+BH5+BI5</f>
        <v>12.50000000000009</v>
      </c>
    </row>
    <row r="6" spans="1:62" s="8" customFormat="1" ht="25.5" customHeight="1">
      <c r="A6" s="67" t="s">
        <v>143</v>
      </c>
      <c r="B6" s="37">
        <v>23.8</v>
      </c>
      <c r="C6" s="36">
        <v>0.1</v>
      </c>
      <c r="D6" s="36"/>
      <c r="E6" s="279">
        <f t="shared" si="3"/>
        <v>23.900000000000002</v>
      </c>
      <c r="F6" s="38">
        <f t="shared" si="4"/>
        <v>23.900000000000002</v>
      </c>
      <c r="G6" s="42"/>
      <c r="H6" s="42"/>
      <c r="I6" s="86">
        <f t="shared" si="0"/>
        <v>2547.0000000000005</v>
      </c>
      <c r="J6" s="87">
        <f t="shared" si="5"/>
        <v>2547.0000000000005</v>
      </c>
      <c r="K6" s="24">
        <v>2493</v>
      </c>
      <c r="L6" s="7"/>
      <c r="M6" s="7">
        <v>0.3</v>
      </c>
      <c r="N6" s="7">
        <v>24.9</v>
      </c>
      <c r="O6" s="7"/>
      <c r="P6" s="7"/>
      <c r="Q6" s="7"/>
      <c r="R6" s="7">
        <v>3</v>
      </c>
      <c r="S6" s="7"/>
      <c r="T6" s="7"/>
      <c r="U6" s="7"/>
      <c r="V6" s="7">
        <v>9</v>
      </c>
      <c r="W6" s="7"/>
      <c r="X6" s="7"/>
      <c r="Y6" s="7">
        <v>3.8</v>
      </c>
      <c r="Z6" s="7">
        <v>13</v>
      </c>
      <c r="AA6" s="7"/>
      <c r="AB6" s="7"/>
      <c r="AC6" s="89">
        <f t="shared" si="1"/>
        <v>2547.0000000000005</v>
      </c>
      <c r="AD6" s="7"/>
      <c r="AE6" s="7"/>
      <c r="AF6" s="7"/>
      <c r="AG6" s="89">
        <f t="shared" si="6"/>
        <v>0</v>
      </c>
      <c r="AH6" s="89">
        <f t="shared" si="7"/>
        <v>2547.0000000000005</v>
      </c>
      <c r="AI6" s="86">
        <f>K6-'hoaki dram18'!G8</f>
        <v>0</v>
      </c>
      <c r="AJ6" s="86">
        <f>L6-'hoaki dram18'!H8-B6</f>
        <v>-23.8</v>
      </c>
      <c r="AK6" s="86">
        <f>M6-'hoaki dram18'!I8-C6</f>
        <v>0.19999999999999998</v>
      </c>
      <c r="AL6" s="86">
        <f>N6-'hoaki dram18'!J8-D6</f>
        <v>8.299999999999997</v>
      </c>
      <c r="AM6" s="86">
        <f>O6-'hoaki dram18'!K8</f>
        <v>0</v>
      </c>
      <c r="AN6" s="86">
        <f>P6-'hoaki dram18'!L8</f>
        <v>0</v>
      </c>
      <c r="AO6" s="86">
        <f>Q6-'hoaki dram18'!M8</f>
        <v>0</v>
      </c>
      <c r="AP6" s="86">
        <f>R6-'hoaki dram18'!N8</f>
        <v>0</v>
      </c>
      <c r="AQ6" s="86">
        <f>S6-'hoaki dram18'!O8</f>
        <v>0</v>
      </c>
      <c r="AR6" s="86">
        <f>T6-'hoaki dram18'!P8</f>
        <v>0</v>
      </c>
      <c r="AS6" s="86">
        <f>U6-'hoaki dram18'!Q8</f>
        <v>0</v>
      </c>
      <c r="AT6" s="86">
        <f>V6-'hoaki dram18'!R8</f>
        <v>0</v>
      </c>
      <c r="AU6" s="86">
        <f>W6-'hoaki dram18'!S8</f>
        <v>0</v>
      </c>
      <c r="AV6" s="86">
        <f>X6-'hoaki dram18'!T8</f>
        <v>0</v>
      </c>
      <c r="AW6" s="86">
        <f>Y6-'hoaki dram18'!U8</f>
        <v>0</v>
      </c>
      <c r="AX6" s="86">
        <f>Z6-'hoaki dram18'!V8</f>
        <v>0</v>
      </c>
      <c r="AY6" s="86">
        <f>AA6-'hoaki dram18'!W8</f>
        <v>0</v>
      </c>
      <c r="AZ6" s="86">
        <f>AB6-'hoaki dram18'!X8</f>
        <v>0</v>
      </c>
      <c r="BA6" s="86">
        <f t="shared" si="2"/>
        <v>-15.300000000000004</v>
      </c>
      <c r="BB6" s="86">
        <f>AD6-'hoaki dram18'!Z8</f>
        <v>0</v>
      </c>
      <c r="BC6" s="86">
        <f>AE6-'hoaki dram18'!AA8</f>
        <v>0</v>
      </c>
      <c r="BD6" s="86">
        <f>AF6-'hoaki dram18'!AB8</f>
        <v>0</v>
      </c>
      <c r="BE6" s="86">
        <f t="shared" si="8"/>
        <v>0</v>
      </c>
      <c r="BF6" s="86">
        <f aca="true" t="shared" si="10" ref="BF6:BF23">BA6+BE6</f>
        <v>-15.300000000000004</v>
      </c>
      <c r="BG6" s="91">
        <f>G6-'hoaki dram18'!C8</f>
        <v>0</v>
      </c>
      <c r="BH6" s="91">
        <f>H6-'hoaki dram18'!D8</f>
        <v>0</v>
      </c>
      <c r="BI6" s="91">
        <f>I6-'hoaki dram18'!E8-F6</f>
        <v>-15.299999999999638</v>
      </c>
      <c r="BJ6" s="91">
        <f t="shared" si="9"/>
        <v>-15.299999999999638</v>
      </c>
    </row>
    <row r="7" spans="1:62" s="8" customFormat="1" ht="25.5" customHeight="1">
      <c r="A7" s="67" t="s">
        <v>142</v>
      </c>
      <c r="B7" s="37">
        <v>240.7</v>
      </c>
      <c r="C7" s="36">
        <v>0.1</v>
      </c>
      <c r="D7" s="36"/>
      <c r="E7" s="279">
        <f t="shared" si="3"/>
        <v>240.79999999999998</v>
      </c>
      <c r="F7" s="38">
        <f t="shared" si="4"/>
        <v>240.79999999999998</v>
      </c>
      <c r="G7" s="42"/>
      <c r="H7" s="42"/>
      <c r="I7" s="86">
        <f t="shared" si="0"/>
        <v>4533</v>
      </c>
      <c r="J7" s="87">
        <f t="shared" si="5"/>
        <v>4533</v>
      </c>
      <c r="K7" s="24">
        <v>4308.3</v>
      </c>
      <c r="L7" s="7">
        <v>4.6</v>
      </c>
      <c r="M7" s="7"/>
      <c r="N7" s="7">
        <v>24.9</v>
      </c>
      <c r="O7" s="7"/>
      <c r="P7" s="7"/>
      <c r="Q7" s="7"/>
      <c r="R7" s="7"/>
      <c r="S7" s="7">
        <v>153</v>
      </c>
      <c r="T7" s="7"/>
      <c r="U7" s="7"/>
      <c r="V7" s="7">
        <v>18</v>
      </c>
      <c r="W7" s="7"/>
      <c r="X7" s="7"/>
      <c r="Y7" s="7">
        <v>8.2</v>
      </c>
      <c r="Z7" s="7">
        <v>16</v>
      </c>
      <c r="AA7" s="7"/>
      <c r="AB7" s="7"/>
      <c r="AC7" s="89">
        <f t="shared" si="1"/>
        <v>4533</v>
      </c>
      <c r="AD7" s="7"/>
      <c r="AE7" s="7"/>
      <c r="AF7" s="7"/>
      <c r="AG7" s="89">
        <f t="shared" si="6"/>
        <v>0</v>
      </c>
      <c r="AH7" s="89">
        <f t="shared" si="7"/>
        <v>4533</v>
      </c>
      <c r="AI7" s="86">
        <f>K7-'hoaki dram18'!G9</f>
        <v>0</v>
      </c>
      <c r="AJ7" s="86">
        <f>L7-'hoaki dram18'!H9-B7</f>
        <v>-236.1</v>
      </c>
      <c r="AK7" s="86">
        <f>M7-'hoaki dram18'!I9-C7</f>
        <v>-0.1</v>
      </c>
      <c r="AL7" s="86">
        <f>N7-'hoaki dram18'!J9-D7</f>
        <v>8.299999999999997</v>
      </c>
      <c r="AM7" s="86">
        <f>O7-'hoaki dram18'!K9</f>
        <v>0</v>
      </c>
      <c r="AN7" s="86">
        <f>P7-'hoaki dram18'!L9</f>
        <v>0</v>
      </c>
      <c r="AO7" s="86">
        <f>Q7-'hoaki dram18'!M9</f>
        <v>0</v>
      </c>
      <c r="AP7" s="86">
        <f>R7-'hoaki dram18'!N9</f>
        <v>0</v>
      </c>
      <c r="AQ7" s="86">
        <f>S7-'hoaki dram18'!O9</f>
        <v>153</v>
      </c>
      <c r="AR7" s="86">
        <f>T7-'hoaki dram18'!P9</f>
        <v>0</v>
      </c>
      <c r="AS7" s="86">
        <f>U7-'hoaki dram18'!Q9</f>
        <v>0</v>
      </c>
      <c r="AT7" s="86">
        <f>V7-'hoaki dram18'!R9</f>
        <v>0</v>
      </c>
      <c r="AU7" s="86">
        <f>W7-'hoaki dram18'!S9</f>
        <v>0</v>
      </c>
      <c r="AV7" s="86">
        <f>X7-'hoaki dram18'!T9</f>
        <v>0</v>
      </c>
      <c r="AW7" s="86">
        <f>Y7-'hoaki dram18'!U9</f>
        <v>0</v>
      </c>
      <c r="AX7" s="86">
        <f>Z7-'hoaki dram18'!V9</f>
        <v>0</v>
      </c>
      <c r="AY7" s="86">
        <f>AA7-'hoaki dram18'!W9</f>
        <v>0</v>
      </c>
      <c r="AZ7" s="86">
        <f>AB7-'hoaki dram18'!X9</f>
        <v>0</v>
      </c>
      <c r="BA7" s="86">
        <f t="shared" si="2"/>
        <v>-74.89999999999998</v>
      </c>
      <c r="BB7" s="86">
        <f>AD7-'hoaki dram18'!Z9</f>
        <v>0</v>
      </c>
      <c r="BC7" s="86">
        <f>AE7-'hoaki dram18'!AA9</f>
        <v>0</v>
      </c>
      <c r="BD7" s="86">
        <f>AF7-'hoaki dram18'!AB9</f>
        <v>0</v>
      </c>
      <c r="BE7" s="86">
        <f t="shared" si="8"/>
        <v>0</v>
      </c>
      <c r="BF7" s="86">
        <f t="shared" si="10"/>
        <v>-74.89999999999998</v>
      </c>
      <c r="BG7" s="91">
        <f>G7-'hoaki dram18'!C9</f>
        <v>0</v>
      </c>
      <c r="BH7" s="91">
        <f>H7-'hoaki dram18'!D9</f>
        <v>0</v>
      </c>
      <c r="BI7" s="91">
        <f>I7-'hoaki dram18'!E9-F7</f>
        <v>-74.90000000000035</v>
      </c>
      <c r="BJ7" s="91">
        <f t="shared" si="9"/>
        <v>-74.90000000000035</v>
      </c>
    </row>
    <row r="8" spans="1:62" s="8" customFormat="1" ht="25.5" customHeight="1">
      <c r="A8" s="67" t="s">
        <v>141</v>
      </c>
      <c r="B8" s="37">
        <v>3.4</v>
      </c>
      <c r="C8" s="36">
        <v>3</v>
      </c>
      <c r="D8" s="36"/>
      <c r="E8" s="279">
        <f t="shared" si="3"/>
        <v>6.4</v>
      </c>
      <c r="F8" s="38">
        <f t="shared" si="4"/>
        <v>6.4</v>
      </c>
      <c r="G8" s="42"/>
      <c r="H8" s="42"/>
      <c r="I8" s="86">
        <f t="shared" si="0"/>
        <v>2635.8</v>
      </c>
      <c r="J8" s="87">
        <f t="shared" si="5"/>
        <v>2635.8</v>
      </c>
      <c r="K8" s="24">
        <v>2577.3</v>
      </c>
      <c r="L8" s="7">
        <v>4.5</v>
      </c>
      <c r="M8" s="7"/>
      <c r="N8" s="7">
        <v>25.2</v>
      </c>
      <c r="O8" s="7"/>
      <c r="P8" s="7"/>
      <c r="Q8" s="7"/>
      <c r="R8" s="7">
        <v>3</v>
      </c>
      <c r="S8" s="7"/>
      <c r="T8" s="7"/>
      <c r="U8" s="9"/>
      <c r="V8" s="7">
        <v>9</v>
      </c>
      <c r="W8" s="7"/>
      <c r="X8" s="7"/>
      <c r="Y8" s="9">
        <v>3.8</v>
      </c>
      <c r="Z8" s="7">
        <v>13</v>
      </c>
      <c r="AA8" s="7"/>
      <c r="AB8" s="7"/>
      <c r="AC8" s="89">
        <f t="shared" si="1"/>
        <v>2635.8</v>
      </c>
      <c r="AD8" s="7"/>
      <c r="AE8" s="7"/>
      <c r="AF8" s="7"/>
      <c r="AG8" s="89">
        <f t="shared" si="6"/>
        <v>0</v>
      </c>
      <c r="AH8" s="89">
        <f t="shared" si="7"/>
        <v>2635.8</v>
      </c>
      <c r="AI8" s="86">
        <f>K8-'hoaki dram18'!G10</f>
        <v>0</v>
      </c>
      <c r="AJ8" s="86">
        <f>L8-'hoaki dram18'!H10-B8</f>
        <v>1.1</v>
      </c>
      <c r="AK8" s="86">
        <f>M8-'hoaki dram18'!I10-C8</f>
        <v>-3</v>
      </c>
      <c r="AL8" s="86">
        <f>N8-'hoaki dram18'!J10-D8</f>
        <v>8.399999999999999</v>
      </c>
      <c r="AM8" s="86">
        <f>O8-'hoaki dram18'!K10</f>
        <v>0</v>
      </c>
      <c r="AN8" s="86">
        <f>P8-'hoaki dram18'!L10</f>
        <v>0</v>
      </c>
      <c r="AO8" s="86">
        <f>Q8-'hoaki dram18'!M10</f>
        <v>0</v>
      </c>
      <c r="AP8" s="86">
        <f>R8-'hoaki dram18'!N10</f>
        <v>0</v>
      </c>
      <c r="AQ8" s="86">
        <f>S8-'hoaki dram18'!O10</f>
        <v>0</v>
      </c>
      <c r="AR8" s="86">
        <f>T8-'hoaki dram18'!P10</f>
        <v>0</v>
      </c>
      <c r="AS8" s="86">
        <f>U8-'hoaki dram18'!Q10</f>
        <v>0</v>
      </c>
      <c r="AT8" s="86">
        <f>V8-'hoaki dram18'!R10</f>
        <v>0</v>
      </c>
      <c r="AU8" s="86">
        <f>W8-'hoaki dram18'!S10</f>
        <v>0</v>
      </c>
      <c r="AV8" s="86">
        <f>X8-'hoaki dram18'!T10</f>
        <v>0</v>
      </c>
      <c r="AW8" s="86">
        <f>Y8-'hoaki dram18'!U10</f>
        <v>0</v>
      </c>
      <c r="AX8" s="86">
        <f>Z8-'hoaki dram18'!V10</f>
        <v>0</v>
      </c>
      <c r="AY8" s="86">
        <f>AA8-'hoaki dram18'!W10</f>
        <v>0</v>
      </c>
      <c r="AZ8" s="86">
        <f>AB8-'hoaki dram18'!X10</f>
        <v>0</v>
      </c>
      <c r="BA8" s="86">
        <f t="shared" si="2"/>
        <v>6.499999999999998</v>
      </c>
      <c r="BB8" s="86">
        <f>AD8-'hoaki dram18'!Z10</f>
        <v>0</v>
      </c>
      <c r="BC8" s="86">
        <f>AE8-'hoaki dram18'!AA10</f>
        <v>0</v>
      </c>
      <c r="BD8" s="86">
        <f>AF8-'hoaki dram18'!AB10</f>
        <v>0</v>
      </c>
      <c r="BE8" s="86">
        <f t="shared" si="8"/>
        <v>0</v>
      </c>
      <c r="BF8" s="86">
        <f t="shared" si="10"/>
        <v>6.499999999999998</v>
      </c>
      <c r="BG8" s="91">
        <f>G8-'hoaki dram18'!C10</f>
        <v>0</v>
      </c>
      <c r="BH8" s="91">
        <f>H8-'hoaki dram18'!D10</f>
        <v>0</v>
      </c>
      <c r="BI8" s="91">
        <f>I8-'hoaki dram18'!E10-F8</f>
        <v>6.500000000000091</v>
      </c>
      <c r="BJ8" s="91">
        <f t="shared" si="9"/>
        <v>6.500000000000091</v>
      </c>
    </row>
    <row r="9" spans="1:62" s="8" customFormat="1" ht="25.5" customHeight="1">
      <c r="A9" s="67" t="s">
        <v>146</v>
      </c>
      <c r="B9" s="37">
        <v>0.4</v>
      </c>
      <c r="C9" s="36"/>
      <c r="D9" s="36"/>
      <c r="E9" s="279">
        <f t="shared" si="3"/>
        <v>0.4</v>
      </c>
      <c r="F9" s="38">
        <f t="shared" si="4"/>
        <v>0.4</v>
      </c>
      <c r="G9" s="42"/>
      <c r="H9" s="42"/>
      <c r="I9" s="86">
        <f t="shared" si="0"/>
        <v>3686.8</v>
      </c>
      <c r="J9" s="87">
        <f t="shared" si="5"/>
        <v>3686.8</v>
      </c>
      <c r="K9" s="24">
        <v>3619.3</v>
      </c>
      <c r="L9" s="7">
        <v>5</v>
      </c>
      <c r="M9" s="7"/>
      <c r="N9" s="7">
        <v>25.2</v>
      </c>
      <c r="O9" s="7"/>
      <c r="P9" s="7"/>
      <c r="Q9" s="7"/>
      <c r="R9" s="7">
        <v>3</v>
      </c>
      <c r="S9" s="7"/>
      <c r="T9" s="7"/>
      <c r="U9" s="7"/>
      <c r="V9" s="7">
        <v>14</v>
      </c>
      <c r="W9" s="7"/>
      <c r="X9" s="7"/>
      <c r="Y9" s="7">
        <v>5.3</v>
      </c>
      <c r="Z9" s="7">
        <v>15</v>
      </c>
      <c r="AA9" s="7"/>
      <c r="AB9" s="7"/>
      <c r="AC9" s="89">
        <f t="shared" si="1"/>
        <v>3686.8</v>
      </c>
      <c r="AD9" s="7"/>
      <c r="AE9" s="7"/>
      <c r="AF9" s="7"/>
      <c r="AG9" s="89">
        <f t="shared" si="6"/>
        <v>0</v>
      </c>
      <c r="AH9" s="89">
        <f t="shared" si="7"/>
        <v>3686.8</v>
      </c>
      <c r="AI9" s="86">
        <f>K9-'hoaki dram18'!G11</f>
        <v>0</v>
      </c>
      <c r="AJ9" s="86">
        <f>L9-'hoaki dram18'!H11-B9</f>
        <v>4.6</v>
      </c>
      <c r="AK9" s="86">
        <f>M9-'hoaki dram18'!I11-C9</f>
        <v>0</v>
      </c>
      <c r="AL9" s="86">
        <f>N9-'hoaki dram18'!J11-D9</f>
        <v>8.399999999999999</v>
      </c>
      <c r="AM9" s="86">
        <f>O9-'hoaki dram18'!K11</f>
        <v>0</v>
      </c>
      <c r="AN9" s="86">
        <f>P9-'hoaki dram18'!L11</f>
        <v>0</v>
      </c>
      <c r="AO9" s="86">
        <f>Q9-'hoaki dram18'!M11</f>
        <v>0</v>
      </c>
      <c r="AP9" s="86">
        <f>R9-'hoaki dram18'!N11</f>
        <v>0</v>
      </c>
      <c r="AQ9" s="86">
        <f>S9-'hoaki dram18'!O11</f>
        <v>0</v>
      </c>
      <c r="AR9" s="86">
        <f>T9-'hoaki dram18'!P11</f>
        <v>0</v>
      </c>
      <c r="AS9" s="86">
        <f>U9-'hoaki dram18'!Q11</f>
        <v>0</v>
      </c>
      <c r="AT9" s="86">
        <f>V9-'hoaki dram18'!R11</f>
        <v>0</v>
      </c>
      <c r="AU9" s="86">
        <f>W9-'hoaki dram18'!S11</f>
        <v>0</v>
      </c>
      <c r="AV9" s="86">
        <f>X9-'hoaki dram18'!T11</f>
        <v>0</v>
      </c>
      <c r="AW9" s="86">
        <f>Y9-'hoaki dram18'!U11</f>
        <v>0</v>
      </c>
      <c r="AX9" s="86">
        <f>Z9-'hoaki dram18'!V11</f>
        <v>0</v>
      </c>
      <c r="AY9" s="86">
        <f>AA9-'hoaki dram18'!W11</f>
        <v>0</v>
      </c>
      <c r="AZ9" s="86">
        <f>AB9-'hoaki dram18'!X11</f>
        <v>0</v>
      </c>
      <c r="BA9" s="86">
        <f t="shared" si="2"/>
        <v>12.999999999999998</v>
      </c>
      <c r="BB9" s="86">
        <f>AD9-'hoaki dram18'!Z11</f>
        <v>0</v>
      </c>
      <c r="BC9" s="86">
        <f>AE9-'hoaki dram18'!AA11</f>
        <v>0</v>
      </c>
      <c r="BD9" s="86">
        <f>AF9-'hoaki dram18'!AB11</f>
        <v>0</v>
      </c>
      <c r="BE9" s="86">
        <f t="shared" si="8"/>
        <v>0</v>
      </c>
      <c r="BF9" s="86">
        <f t="shared" si="10"/>
        <v>12.999999999999998</v>
      </c>
      <c r="BG9" s="91">
        <f>G9-'hoaki dram18'!C11</f>
        <v>0</v>
      </c>
      <c r="BH9" s="91">
        <f>H9-'hoaki dram18'!D11</f>
        <v>0</v>
      </c>
      <c r="BI9" s="91">
        <f>I9-'hoaki dram18'!E11-F9</f>
        <v>13.00000000000009</v>
      </c>
      <c r="BJ9" s="91">
        <f t="shared" si="9"/>
        <v>13.00000000000009</v>
      </c>
    </row>
    <row r="10" spans="1:62" s="8" customFormat="1" ht="25.5" customHeight="1">
      <c r="A10" s="67" t="s">
        <v>147</v>
      </c>
      <c r="B10" s="37">
        <v>11</v>
      </c>
      <c r="C10" s="36">
        <v>0.4</v>
      </c>
      <c r="D10" s="36"/>
      <c r="E10" s="279">
        <f t="shared" si="3"/>
        <v>11.4</v>
      </c>
      <c r="F10" s="38">
        <f t="shared" si="4"/>
        <v>11.4</v>
      </c>
      <c r="G10" s="42"/>
      <c r="H10" s="42"/>
      <c r="I10" s="86">
        <f t="shared" si="0"/>
        <v>3500.8</v>
      </c>
      <c r="J10" s="87">
        <f t="shared" si="5"/>
        <v>3500.8</v>
      </c>
      <c r="K10" s="24">
        <v>3434.9</v>
      </c>
      <c r="L10" s="7">
        <v>4.4</v>
      </c>
      <c r="M10" s="7"/>
      <c r="N10" s="7">
        <v>25.2</v>
      </c>
      <c r="O10" s="7"/>
      <c r="P10" s="7"/>
      <c r="Q10" s="7"/>
      <c r="R10" s="7">
        <v>3</v>
      </c>
      <c r="S10" s="7"/>
      <c r="T10" s="7"/>
      <c r="U10" s="7"/>
      <c r="V10" s="7">
        <v>13</v>
      </c>
      <c r="W10" s="7"/>
      <c r="X10" s="7"/>
      <c r="Y10" s="7">
        <v>5.3</v>
      </c>
      <c r="Z10" s="7">
        <v>15</v>
      </c>
      <c r="AA10" s="7"/>
      <c r="AB10" s="7"/>
      <c r="AC10" s="89">
        <f t="shared" si="1"/>
        <v>3500.8</v>
      </c>
      <c r="AD10" s="7"/>
      <c r="AE10" s="7"/>
      <c r="AF10" s="7"/>
      <c r="AG10" s="89">
        <f t="shared" si="6"/>
        <v>0</v>
      </c>
      <c r="AH10" s="89">
        <f t="shared" si="7"/>
        <v>3500.8</v>
      </c>
      <c r="AI10" s="86">
        <f>K10-'hoaki dram18'!G12</f>
        <v>0</v>
      </c>
      <c r="AJ10" s="86">
        <f>L10-'hoaki dram18'!H12-B10</f>
        <v>-6.6</v>
      </c>
      <c r="AK10" s="86">
        <f>M10-'hoaki dram18'!I12-C10</f>
        <v>-0.4</v>
      </c>
      <c r="AL10" s="86">
        <f>N10-'hoaki dram18'!J12-D10</f>
        <v>8.399999999999999</v>
      </c>
      <c r="AM10" s="86">
        <f>O10-'hoaki dram18'!K12</f>
        <v>0</v>
      </c>
      <c r="AN10" s="86">
        <f>P10-'hoaki dram18'!L12</f>
        <v>0</v>
      </c>
      <c r="AO10" s="86">
        <f>Q10-'hoaki dram18'!M12</f>
        <v>0</v>
      </c>
      <c r="AP10" s="86">
        <f>R10-'hoaki dram18'!N12</f>
        <v>0</v>
      </c>
      <c r="AQ10" s="86">
        <f>S10-'hoaki dram18'!O12</f>
        <v>0</v>
      </c>
      <c r="AR10" s="86">
        <f>T10-'hoaki dram18'!P12</f>
        <v>0</v>
      </c>
      <c r="AS10" s="86">
        <f>U10-'hoaki dram18'!Q12</f>
        <v>0</v>
      </c>
      <c r="AT10" s="86">
        <f>V10-'hoaki dram18'!R12</f>
        <v>0</v>
      </c>
      <c r="AU10" s="86">
        <f>W10-'hoaki dram18'!S12</f>
        <v>0</v>
      </c>
      <c r="AV10" s="86">
        <f>X10-'hoaki dram18'!T12</f>
        <v>0</v>
      </c>
      <c r="AW10" s="86">
        <f>Y10-'hoaki dram18'!U12</f>
        <v>0</v>
      </c>
      <c r="AX10" s="86">
        <f>Z10-'hoaki dram18'!V12</f>
        <v>0</v>
      </c>
      <c r="AY10" s="86">
        <f>AA10-'hoaki dram18'!W12</f>
        <v>0</v>
      </c>
      <c r="AZ10" s="86">
        <f>AB10-'hoaki dram18'!X12</f>
        <v>0</v>
      </c>
      <c r="BA10" s="86">
        <f t="shared" si="2"/>
        <v>1.3999999999999986</v>
      </c>
      <c r="BB10" s="86">
        <f>AD10-'hoaki dram18'!Z12</f>
        <v>0</v>
      </c>
      <c r="BC10" s="86">
        <f>AE10-'hoaki dram18'!AA12</f>
        <v>0</v>
      </c>
      <c r="BD10" s="86">
        <f>AF10-'hoaki dram18'!AB12</f>
        <v>0</v>
      </c>
      <c r="BE10" s="86">
        <f t="shared" si="8"/>
        <v>0</v>
      </c>
      <c r="BF10" s="86">
        <f t="shared" si="10"/>
        <v>1.3999999999999986</v>
      </c>
      <c r="BG10" s="91">
        <f>G10-'hoaki dram18'!C12</f>
        <v>0</v>
      </c>
      <c r="BH10" s="91">
        <f>H10-'hoaki dram18'!D12</f>
        <v>0</v>
      </c>
      <c r="BI10" s="91">
        <f>I10-'hoaki dram18'!E12-F10</f>
        <v>1.4000000000001815</v>
      </c>
      <c r="BJ10" s="91">
        <f t="shared" si="9"/>
        <v>1.4000000000001815</v>
      </c>
    </row>
    <row r="11" spans="1:62" s="8" customFormat="1" ht="25.5" customHeight="1">
      <c r="A11" s="67" t="s">
        <v>148</v>
      </c>
      <c r="B11" s="37">
        <v>10.7</v>
      </c>
      <c r="C11" s="36"/>
      <c r="D11" s="36"/>
      <c r="E11" s="279">
        <f t="shared" si="3"/>
        <v>10.7</v>
      </c>
      <c r="F11" s="38">
        <f t="shared" si="4"/>
        <v>10.7</v>
      </c>
      <c r="G11" s="42"/>
      <c r="H11" s="42"/>
      <c r="I11" s="86">
        <f t="shared" si="0"/>
        <v>3952.3</v>
      </c>
      <c r="J11" s="87">
        <f t="shared" si="5"/>
        <v>3952.3</v>
      </c>
      <c r="K11" s="24">
        <v>3572.3</v>
      </c>
      <c r="L11" s="7"/>
      <c r="M11" s="7"/>
      <c r="N11" s="7">
        <v>25.2</v>
      </c>
      <c r="O11" s="7"/>
      <c r="P11" s="7"/>
      <c r="Q11" s="7"/>
      <c r="R11" s="7">
        <v>3</v>
      </c>
      <c r="S11" s="7"/>
      <c r="T11" s="7"/>
      <c r="U11" s="7"/>
      <c r="V11" s="7">
        <v>15</v>
      </c>
      <c r="W11" s="7"/>
      <c r="X11" s="7"/>
      <c r="Y11" s="7">
        <v>6.8</v>
      </c>
      <c r="Z11" s="7">
        <v>330</v>
      </c>
      <c r="AA11" s="7"/>
      <c r="AB11" s="7"/>
      <c r="AC11" s="89">
        <f t="shared" si="1"/>
        <v>3952.3</v>
      </c>
      <c r="AD11" s="7"/>
      <c r="AE11" s="7"/>
      <c r="AF11" s="7"/>
      <c r="AG11" s="89">
        <f t="shared" si="6"/>
        <v>0</v>
      </c>
      <c r="AH11" s="89">
        <f t="shared" si="7"/>
        <v>3952.3</v>
      </c>
      <c r="AI11" s="86">
        <f>K11-'hoaki dram18'!G13</f>
        <v>0</v>
      </c>
      <c r="AJ11" s="86">
        <f>L11-'hoaki dram18'!H13-B11</f>
        <v>-10.7</v>
      </c>
      <c r="AK11" s="86">
        <f>M11-'hoaki dram18'!I13-C11</f>
        <v>0</v>
      </c>
      <c r="AL11" s="86">
        <f>N11-'hoaki dram18'!J13-D11</f>
        <v>8.399999999999999</v>
      </c>
      <c r="AM11" s="86">
        <f>O11-'hoaki dram18'!K13</f>
        <v>0</v>
      </c>
      <c r="AN11" s="86">
        <f>P11-'hoaki dram18'!L13</f>
        <v>0</v>
      </c>
      <c r="AO11" s="86">
        <f>Q11-'hoaki dram18'!M13</f>
        <v>0</v>
      </c>
      <c r="AP11" s="86">
        <f>R11-'hoaki dram18'!N13</f>
        <v>0</v>
      </c>
      <c r="AQ11" s="86">
        <f>S11-'hoaki dram18'!O13</f>
        <v>0</v>
      </c>
      <c r="AR11" s="86">
        <f>T11-'hoaki dram18'!P13</f>
        <v>0</v>
      </c>
      <c r="AS11" s="86">
        <f>U11-'hoaki dram18'!Q13</f>
        <v>0</v>
      </c>
      <c r="AT11" s="86">
        <f>V11-'hoaki dram18'!R13</f>
        <v>0</v>
      </c>
      <c r="AU11" s="86">
        <f>W11-'hoaki dram18'!S13</f>
        <v>0</v>
      </c>
      <c r="AV11" s="86">
        <f>X11-'hoaki dram18'!T13</f>
        <v>0</v>
      </c>
      <c r="AW11" s="86">
        <f>Y11-'hoaki dram18'!U13</f>
        <v>0</v>
      </c>
      <c r="AX11" s="86">
        <f>Z11-'hoaki dram18'!V13</f>
        <v>0</v>
      </c>
      <c r="AY11" s="86">
        <f>AA11-'hoaki dram18'!W13</f>
        <v>0</v>
      </c>
      <c r="AZ11" s="86">
        <f>AB11-'hoaki dram18'!X13</f>
        <v>0</v>
      </c>
      <c r="BA11" s="86">
        <f t="shared" si="2"/>
        <v>-2.3000000000000007</v>
      </c>
      <c r="BB11" s="86">
        <f>AD11-'hoaki dram18'!Z13</f>
        <v>0</v>
      </c>
      <c r="BC11" s="86">
        <f>AE11-'hoaki dram18'!AA13</f>
        <v>0</v>
      </c>
      <c r="BD11" s="86">
        <f>AF11-'hoaki dram18'!AB13</f>
        <v>0</v>
      </c>
      <c r="BE11" s="86">
        <f t="shared" si="8"/>
        <v>0</v>
      </c>
      <c r="BF11" s="86">
        <f t="shared" si="10"/>
        <v>-2.3000000000000007</v>
      </c>
      <c r="BG11" s="91">
        <f>G11-'hoaki dram18'!C13</f>
        <v>0</v>
      </c>
      <c r="BH11" s="91">
        <f>H11-'hoaki dram18'!D13</f>
        <v>0</v>
      </c>
      <c r="BI11" s="91">
        <f>I11-'hoaki dram18'!E13-F11</f>
        <v>-2.2999999999999083</v>
      </c>
      <c r="BJ11" s="91">
        <f t="shared" si="9"/>
        <v>-2.2999999999999083</v>
      </c>
    </row>
    <row r="12" spans="1:62" s="8" customFormat="1" ht="25.5" customHeight="1">
      <c r="A12" s="67" t="s">
        <v>149</v>
      </c>
      <c r="B12" s="37">
        <v>0</v>
      </c>
      <c r="C12" s="36">
        <v>0</v>
      </c>
      <c r="D12" s="36"/>
      <c r="E12" s="279">
        <f t="shared" si="3"/>
        <v>0</v>
      </c>
      <c r="F12" s="38">
        <f t="shared" si="4"/>
        <v>0</v>
      </c>
      <c r="G12" s="42"/>
      <c r="H12" s="42"/>
      <c r="I12" s="86">
        <f t="shared" si="0"/>
        <v>3487.6</v>
      </c>
      <c r="J12" s="87">
        <f t="shared" si="5"/>
        <v>3487.6</v>
      </c>
      <c r="K12" s="24">
        <v>3419.2</v>
      </c>
      <c r="L12" s="7">
        <v>6.2</v>
      </c>
      <c r="M12" s="7"/>
      <c r="N12" s="7">
        <v>24.9</v>
      </c>
      <c r="O12" s="7"/>
      <c r="P12" s="7"/>
      <c r="Q12" s="7"/>
      <c r="R12" s="7">
        <v>3</v>
      </c>
      <c r="S12" s="7"/>
      <c r="T12" s="7"/>
      <c r="U12" s="7"/>
      <c r="V12" s="7">
        <v>14</v>
      </c>
      <c r="W12" s="7"/>
      <c r="X12" s="7"/>
      <c r="Y12" s="7">
        <v>5.3</v>
      </c>
      <c r="Z12" s="7">
        <v>15</v>
      </c>
      <c r="AA12" s="7"/>
      <c r="AB12" s="7"/>
      <c r="AC12" s="89">
        <f t="shared" si="1"/>
        <v>3487.6</v>
      </c>
      <c r="AD12" s="7"/>
      <c r="AE12" s="7"/>
      <c r="AF12" s="7"/>
      <c r="AG12" s="89">
        <f t="shared" si="6"/>
        <v>0</v>
      </c>
      <c r="AH12" s="89">
        <f t="shared" si="7"/>
        <v>3487.6</v>
      </c>
      <c r="AI12" s="86">
        <f>K12-'hoaki dram18'!G14</f>
        <v>0</v>
      </c>
      <c r="AJ12" s="86">
        <f>L12-'hoaki dram18'!H14-B12</f>
        <v>6.2</v>
      </c>
      <c r="AK12" s="86">
        <f>M12-'hoaki dram18'!I14-C12</f>
        <v>0</v>
      </c>
      <c r="AL12" s="86">
        <f>N12-'hoaki dram18'!J14-D12</f>
        <v>8.299999999999997</v>
      </c>
      <c r="AM12" s="86">
        <f>O12-'hoaki dram18'!K14</f>
        <v>0</v>
      </c>
      <c r="AN12" s="86">
        <f>P12-'hoaki dram18'!L14</f>
        <v>0</v>
      </c>
      <c r="AO12" s="86">
        <f>Q12-'hoaki dram18'!M14</f>
        <v>0</v>
      </c>
      <c r="AP12" s="86">
        <f>R12-'hoaki dram18'!N14</f>
        <v>0</v>
      </c>
      <c r="AQ12" s="86">
        <f>S12-'hoaki dram18'!O14</f>
        <v>0</v>
      </c>
      <c r="AR12" s="86">
        <f>T12-'hoaki dram18'!P14</f>
        <v>0</v>
      </c>
      <c r="AS12" s="86">
        <f>U12-'hoaki dram18'!Q14</f>
        <v>0</v>
      </c>
      <c r="AT12" s="86">
        <f>V12-'hoaki dram18'!R14</f>
        <v>0</v>
      </c>
      <c r="AU12" s="86">
        <f>W12-'hoaki dram18'!S14</f>
        <v>0</v>
      </c>
      <c r="AV12" s="86">
        <f>X12-'hoaki dram18'!T14</f>
        <v>0</v>
      </c>
      <c r="AW12" s="86">
        <f>Y12-'hoaki dram18'!U14</f>
        <v>0</v>
      </c>
      <c r="AX12" s="86">
        <f>Z12-'hoaki dram18'!V14</f>
        <v>0</v>
      </c>
      <c r="AY12" s="86">
        <f>AA12-'hoaki dram18'!W14</f>
        <v>0</v>
      </c>
      <c r="AZ12" s="86">
        <f>AB12-'hoaki dram18'!X14</f>
        <v>0</v>
      </c>
      <c r="BA12" s="86">
        <f t="shared" si="2"/>
        <v>14.499999999999996</v>
      </c>
      <c r="BB12" s="86">
        <f>AD12-'hoaki dram18'!Z14</f>
        <v>0</v>
      </c>
      <c r="BC12" s="86">
        <f>AE12-'hoaki dram18'!AA14</f>
        <v>0</v>
      </c>
      <c r="BD12" s="86">
        <f>AF12-'hoaki dram18'!AB14</f>
        <v>0</v>
      </c>
      <c r="BE12" s="86">
        <f t="shared" si="8"/>
        <v>0</v>
      </c>
      <c r="BF12" s="86">
        <f t="shared" si="10"/>
        <v>14.499999999999996</v>
      </c>
      <c r="BG12" s="91">
        <f>G12-'hoaki dram18'!C14</f>
        <v>0</v>
      </c>
      <c r="BH12" s="91">
        <f>H12-'hoaki dram18'!D14</f>
        <v>0</v>
      </c>
      <c r="BI12" s="91">
        <f>I12-'hoaki dram18'!E14-F12</f>
        <v>14.5</v>
      </c>
      <c r="BJ12" s="91">
        <f t="shared" si="9"/>
        <v>14.5</v>
      </c>
    </row>
    <row r="13" spans="1:63" s="8" customFormat="1" ht="25.5" customHeight="1">
      <c r="A13" s="67" t="s">
        <v>150</v>
      </c>
      <c r="B13" s="37">
        <v>224.7</v>
      </c>
      <c r="C13" s="36">
        <v>2</v>
      </c>
      <c r="D13" s="36"/>
      <c r="E13" s="279">
        <f t="shared" si="3"/>
        <v>226.7</v>
      </c>
      <c r="F13" s="38">
        <f t="shared" si="4"/>
        <v>226.7</v>
      </c>
      <c r="G13" s="42"/>
      <c r="H13" s="42"/>
      <c r="I13" s="86">
        <f t="shared" si="0"/>
        <v>4839.5</v>
      </c>
      <c r="J13" s="87">
        <f t="shared" si="5"/>
        <v>4839.5</v>
      </c>
      <c r="K13" s="24">
        <v>4578.8</v>
      </c>
      <c r="L13" s="7">
        <v>8</v>
      </c>
      <c r="M13" s="7"/>
      <c r="N13" s="7">
        <v>25.2</v>
      </c>
      <c r="O13" s="7"/>
      <c r="P13" s="7"/>
      <c r="Q13" s="7"/>
      <c r="R13" s="7">
        <v>3</v>
      </c>
      <c r="S13" s="7">
        <v>187.2</v>
      </c>
      <c r="T13" s="7"/>
      <c r="U13" s="7"/>
      <c r="V13" s="7">
        <v>17</v>
      </c>
      <c r="W13" s="7"/>
      <c r="X13" s="7"/>
      <c r="Y13" s="7">
        <v>5.3</v>
      </c>
      <c r="Z13" s="7">
        <v>15</v>
      </c>
      <c r="AA13" s="7"/>
      <c r="AB13" s="7"/>
      <c r="AC13" s="89">
        <f t="shared" si="1"/>
        <v>4839.5</v>
      </c>
      <c r="AD13" s="7"/>
      <c r="AE13" s="7"/>
      <c r="AF13" s="7"/>
      <c r="AG13" s="89">
        <f t="shared" si="6"/>
        <v>0</v>
      </c>
      <c r="AH13" s="89">
        <f t="shared" si="7"/>
        <v>4839.5</v>
      </c>
      <c r="AI13" s="86">
        <f>K13-'hoaki dram18'!G15</f>
        <v>0</v>
      </c>
      <c r="AJ13" s="86">
        <f>L13-'hoaki dram18'!H15-B13</f>
        <v>-216.7</v>
      </c>
      <c r="AK13" s="86">
        <f>M13-'hoaki dram18'!I15-C13</f>
        <v>-2</v>
      </c>
      <c r="AL13" s="86">
        <f>N13-'hoaki dram18'!J15-D13</f>
        <v>8.399999999999999</v>
      </c>
      <c r="AM13" s="86">
        <f>O13-'hoaki dram18'!K15</f>
        <v>0</v>
      </c>
      <c r="AN13" s="86">
        <f>P13-'hoaki dram18'!L15</f>
        <v>0</v>
      </c>
      <c r="AO13" s="86">
        <f>Q13-'hoaki dram18'!M15</f>
        <v>0</v>
      </c>
      <c r="AP13" s="86">
        <f>R13-'hoaki dram18'!N15</f>
        <v>0</v>
      </c>
      <c r="AQ13" s="86">
        <f>S13-'hoaki dram18'!O15</f>
        <v>176.39999999999998</v>
      </c>
      <c r="AR13" s="86">
        <f>T13-'hoaki dram18'!P15</f>
        <v>0</v>
      </c>
      <c r="AS13" s="86">
        <f>U13-'hoaki dram18'!Q15</f>
        <v>0</v>
      </c>
      <c r="AT13" s="86">
        <f>V13-'hoaki dram18'!R15</f>
        <v>0</v>
      </c>
      <c r="AU13" s="86">
        <f>W13-'hoaki dram18'!S15</f>
        <v>0</v>
      </c>
      <c r="AV13" s="86">
        <f>X13-'hoaki dram18'!T15</f>
        <v>0</v>
      </c>
      <c r="AW13" s="86">
        <f>Y13-'hoaki dram18'!U15</f>
        <v>0</v>
      </c>
      <c r="AX13" s="86">
        <f>Z13-'hoaki dram18'!V15</f>
        <v>0</v>
      </c>
      <c r="AY13" s="86">
        <f>AA13-'hoaki dram18'!W15</f>
        <v>0</v>
      </c>
      <c r="AZ13" s="86">
        <f>AB13-'hoaki dram18'!X15</f>
        <v>0</v>
      </c>
      <c r="BA13" s="86">
        <f t="shared" si="2"/>
        <v>-33.900000000000006</v>
      </c>
      <c r="BB13" s="86">
        <f>AD13-'hoaki dram18'!Z15</f>
        <v>0</v>
      </c>
      <c r="BC13" s="86">
        <f>AE13-'hoaki dram18'!AA15</f>
        <v>0</v>
      </c>
      <c r="BD13" s="86">
        <f>AF13-'hoaki dram18'!AB15</f>
        <v>0</v>
      </c>
      <c r="BE13" s="86">
        <f t="shared" si="8"/>
        <v>0</v>
      </c>
      <c r="BF13" s="86">
        <f t="shared" si="10"/>
        <v>-33.900000000000006</v>
      </c>
      <c r="BG13" s="91">
        <f>G13-'hoaki dram18'!C15</f>
        <v>0</v>
      </c>
      <c r="BH13" s="91">
        <f>H13-'hoaki dram18'!D15</f>
        <v>0</v>
      </c>
      <c r="BI13" s="91">
        <f>I13-'hoaki dram18'!E15-F13</f>
        <v>-33.89999999999981</v>
      </c>
      <c r="BJ13" s="91">
        <f t="shared" si="9"/>
        <v>-33.89999999999981</v>
      </c>
      <c r="BK13" s="8" t="s">
        <v>203</v>
      </c>
    </row>
    <row r="14" spans="1:64" s="8" customFormat="1" ht="25.5" customHeight="1">
      <c r="A14" s="67" t="s">
        <v>151</v>
      </c>
      <c r="B14" s="271">
        <v>49.3</v>
      </c>
      <c r="C14" s="7"/>
      <c r="D14" s="7"/>
      <c r="E14" s="279">
        <f t="shared" si="3"/>
        <v>49.3</v>
      </c>
      <c r="F14" s="38">
        <f t="shared" si="4"/>
        <v>49.3</v>
      </c>
      <c r="G14" s="42"/>
      <c r="H14" s="42"/>
      <c r="I14" s="86">
        <f t="shared" si="0"/>
        <v>3707.2999999999997</v>
      </c>
      <c r="J14" s="87">
        <f t="shared" si="5"/>
        <v>3707.2999999999997</v>
      </c>
      <c r="K14" s="24">
        <v>3619.2</v>
      </c>
      <c r="L14" s="7">
        <v>37.1</v>
      </c>
      <c r="M14" s="7"/>
      <c r="N14" s="7">
        <v>14.7</v>
      </c>
      <c r="O14" s="7"/>
      <c r="P14" s="7"/>
      <c r="Q14" s="7"/>
      <c r="R14" s="7">
        <v>3</v>
      </c>
      <c r="S14" s="7"/>
      <c r="T14" s="7"/>
      <c r="U14" s="7"/>
      <c r="V14" s="7">
        <v>13</v>
      </c>
      <c r="W14" s="7"/>
      <c r="X14" s="7"/>
      <c r="Y14" s="7">
        <v>5.3</v>
      </c>
      <c r="Z14" s="7">
        <v>15</v>
      </c>
      <c r="AA14" s="7"/>
      <c r="AB14" s="7"/>
      <c r="AC14" s="89">
        <f t="shared" si="1"/>
        <v>3707.2999999999997</v>
      </c>
      <c r="AD14" s="7"/>
      <c r="AE14" s="7"/>
      <c r="AF14" s="7"/>
      <c r="AG14" s="89">
        <f t="shared" si="6"/>
        <v>0</v>
      </c>
      <c r="AH14" s="89">
        <f t="shared" si="7"/>
        <v>3707.2999999999997</v>
      </c>
      <c r="AI14" s="86">
        <f>K14-'hoaki dram18'!G16</f>
        <v>0</v>
      </c>
      <c r="AJ14" s="86">
        <f>L14-'hoaki dram18'!H16-B14</f>
        <v>-12.199999999999996</v>
      </c>
      <c r="AK14" s="86">
        <f>M14-'hoaki dram18'!I16-C14</f>
        <v>0</v>
      </c>
      <c r="AL14" s="86">
        <f>N14-'hoaki dram18'!J16-D14</f>
        <v>4.899999999999999</v>
      </c>
      <c r="AM14" s="86">
        <f>O14-'hoaki dram18'!K16</f>
        <v>0</v>
      </c>
      <c r="AN14" s="86">
        <f>P14-'hoaki dram18'!L16</f>
        <v>0</v>
      </c>
      <c r="AO14" s="86">
        <f>Q14-'hoaki dram18'!M16</f>
        <v>0</v>
      </c>
      <c r="AP14" s="86">
        <f>R14-'hoaki dram18'!N16</f>
        <v>0</v>
      </c>
      <c r="AQ14" s="86">
        <f>S14-'hoaki dram18'!O16</f>
        <v>0</v>
      </c>
      <c r="AR14" s="86">
        <f>T14-'hoaki dram18'!P16</f>
        <v>0</v>
      </c>
      <c r="AS14" s="86">
        <f>U14-'hoaki dram18'!Q16</f>
        <v>0</v>
      </c>
      <c r="AT14" s="86">
        <f>V14-'hoaki dram18'!R16</f>
        <v>0</v>
      </c>
      <c r="AU14" s="86">
        <f>W14-'hoaki dram18'!S16</f>
        <v>0</v>
      </c>
      <c r="AV14" s="86">
        <f>X14-'hoaki dram18'!T16</f>
        <v>0</v>
      </c>
      <c r="AW14" s="86">
        <f>Y14-'hoaki dram18'!U16</f>
        <v>0</v>
      </c>
      <c r="AX14" s="86">
        <f>Z14-'hoaki dram18'!V16</f>
        <v>0</v>
      </c>
      <c r="AY14" s="86">
        <f>AA14-'hoaki dram18'!W16</f>
        <v>0</v>
      </c>
      <c r="AZ14" s="86">
        <f>AB14-'hoaki dram18'!X16</f>
        <v>0</v>
      </c>
      <c r="BA14" s="86">
        <f t="shared" si="2"/>
        <v>-7.299999999999997</v>
      </c>
      <c r="BB14" s="86">
        <f>AD14-'hoaki dram18'!Z16</f>
        <v>0</v>
      </c>
      <c r="BC14" s="86">
        <f>AE14-'hoaki dram18'!AA16</f>
        <v>0</v>
      </c>
      <c r="BD14" s="86">
        <f>AF14-'hoaki dram18'!AB16</f>
        <v>0</v>
      </c>
      <c r="BE14" s="86">
        <f>BB14+BC14+BD14</f>
        <v>0</v>
      </c>
      <c r="BF14" s="86">
        <f>BA14+BE14</f>
        <v>-7.299999999999997</v>
      </c>
      <c r="BG14" s="91">
        <f>G14-'hoaki dram18'!C16</f>
        <v>0</v>
      </c>
      <c r="BH14" s="91">
        <f>H14-'hoaki dram18'!D16</f>
        <v>0</v>
      </c>
      <c r="BI14" s="91">
        <f>I14-'hoaki dram18'!E16-F14</f>
        <v>-7.300000000000452</v>
      </c>
      <c r="BJ14" s="91">
        <f t="shared" si="9"/>
        <v>-7.300000000000452</v>
      </c>
      <c r="BL14" s="8" t="s">
        <v>16</v>
      </c>
    </row>
    <row r="15" spans="1:62" s="8" customFormat="1" ht="25.5" customHeight="1" thickBot="1">
      <c r="A15" s="69" t="s">
        <v>152</v>
      </c>
      <c r="B15" s="53">
        <v>39.5</v>
      </c>
      <c r="C15" s="54"/>
      <c r="D15" s="54"/>
      <c r="E15" s="284">
        <f t="shared" si="3"/>
        <v>39.5</v>
      </c>
      <c r="F15" s="285">
        <f t="shared" si="4"/>
        <v>39.5</v>
      </c>
      <c r="G15" s="55"/>
      <c r="H15" s="55"/>
      <c r="I15" s="92">
        <f t="shared" si="0"/>
        <v>3865.0000000000005</v>
      </c>
      <c r="J15" s="286">
        <f t="shared" si="5"/>
        <v>3865.0000000000005</v>
      </c>
      <c r="K15" s="56">
        <v>3790.4</v>
      </c>
      <c r="L15" s="57">
        <v>12.9</v>
      </c>
      <c r="M15" s="57"/>
      <c r="N15" s="57">
        <v>24.9</v>
      </c>
      <c r="O15" s="57"/>
      <c r="P15" s="57"/>
      <c r="Q15" s="57"/>
      <c r="R15" s="57"/>
      <c r="S15" s="57"/>
      <c r="T15" s="57"/>
      <c r="U15" s="57"/>
      <c r="V15" s="57">
        <v>15</v>
      </c>
      <c r="W15" s="57"/>
      <c r="X15" s="57"/>
      <c r="Y15" s="57">
        <v>6.8</v>
      </c>
      <c r="Z15" s="57">
        <v>15</v>
      </c>
      <c r="AA15" s="57"/>
      <c r="AB15" s="57"/>
      <c r="AC15" s="90">
        <f t="shared" si="1"/>
        <v>3865.0000000000005</v>
      </c>
      <c r="AD15" s="57"/>
      <c r="AE15" s="57"/>
      <c r="AF15" s="57"/>
      <c r="AG15" s="90">
        <f t="shared" si="6"/>
        <v>0</v>
      </c>
      <c r="AH15" s="90">
        <f t="shared" si="7"/>
        <v>3865.0000000000005</v>
      </c>
      <c r="AI15" s="92">
        <f>K15-'hoaki dram18'!G17</f>
        <v>0</v>
      </c>
      <c r="AJ15" s="92">
        <f>L15-'hoaki dram18'!H17-B15</f>
        <v>-26.6</v>
      </c>
      <c r="AK15" s="92">
        <f>M15-'hoaki dram18'!I17-C15</f>
        <v>0</v>
      </c>
      <c r="AL15" s="92">
        <f>N15-'hoaki dram18'!J17-D15</f>
        <v>8.299999999999997</v>
      </c>
      <c r="AM15" s="92">
        <f>O15-'hoaki dram18'!K17</f>
        <v>0</v>
      </c>
      <c r="AN15" s="92">
        <f>P15-'hoaki dram18'!L17</f>
        <v>0</v>
      </c>
      <c r="AO15" s="92">
        <f>Q15-'hoaki dram18'!M17</f>
        <v>0</v>
      </c>
      <c r="AP15" s="92">
        <f>R15-'hoaki dram18'!N17</f>
        <v>0</v>
      </c>
      <c r="AQ15" s="92">
        <f>S15-'hoaki dram18'!O17</f>
        <v>0</v>
      </c>
      <c r="AR15" s="92">
        <f>T15-'hoaki dram18'!P17</f>
        <v>0</v>
      </c>
      <c r="AS15" s="92">
        <f>U15-'hoaki dram18'!Q17</f>
        <v>0</v>
      </c>
      <c r="AT15" s="92">
        <f>V15-'hoaki dram18'!R17</f>
        <v>0</v>
      </c>
      <c r="AU15" s="92">
        <f>W15-'hoaki dram18'!S17</f>
        <v>0</v>
      </c>
      <c r="AV15" s="92">
        <f>X15-'hoaki dram18'!T17</f>
        <v>0</v>
      </c>
      <c r="AW15" s="92">
        <f>Y15-'hoaki dram18'!U17</f>
        <v>0</v>
      </c>
      <c r="AX15" s="92">
        <f>Z15-'hoaki dram18'!V17</f>
        <v>0</v>
      </c>
      <c r="AY15" s="92">
        <f>AA15-'hoaki dram18'!W17</f>
        <v>0</v>
      </c>
      <c r="AZ15" s="92">
        <f>AB15-'hoaki dram18'!X17</f>
        <v>0</v>
      </c>
      <c r="BA15" s="92">
        <f t="shared" si="2"/>
        <v>-18.300000000000004</v>
      </c>
      <c r="BB15" s="92">
        <f>AD15-'hoaki dram18'!Z17</f>
        <v>0</v>
      </c>
      <c r="BC15" s="92">
        <f>AE15-'hoaki dram18'!AA17</f>
        <v>0</v>
      </c>
      <c r="BD15" s="92">
        <f>AF15-'hoaki dram18'!AB17</f>
        <v>0</v>
      </c>
      <c r="BE15" s="92">
        <f t="shared" si="8"/>
        <v>0</v>
      </c>
      <c r="BF15" s="92">
        <f t="shared" si="10"/>
        <v>-18.300000000000004</v>
      </c>
      <c r="BG15" s="249">
        <f>G15-'hoaki dram18'!C17</f>
        <v>0</v>
      </c>
      <c r="BH15" s="249">
        <f>H15-'hoaki dram18'!D17</f>
        <v>0</v>
      </c>
      <c r="BI15" s="249">
        <f>I15-'hoaki dram18'!E17-F15</f>
        <v>-18.299999999999727</v>
      </c>
      <c r="BJ15" s="91">
        <f t="shared" si="9"/>
        <v>-18.299999999999727</v>
      </c>
    </row>
    <row r="16" spans="1:62" s="23" customFormat="1" ht="25.5" customHeight="1" thickBot="1">
      <c r="A16" s="68" t="s">
        <v>120</v>
      </c>
      <c r="B16" s="346">
        <f aca="true" t="shared" si="11" ref="B16:N16">SUM(B4:B15)</f>
        <v>667.6999999999998</v>
      </c>
      <c r="C16" s="346">
        <f t="shared" si="11"/>
        <v>11.799999999999999</v>
      </c>
      <c r="D16" s="346">
        <f t="shared" si="11"/>
        <v>0.2</v>
      </c>
      <c r="E16" s="346">
        <f t="shared" si="11"/>
        <v>679.6999999999998</v>
      </c>
      <c r="F16" s="346">
        <f t="shared" si="11"/>
        <v>679.6999999999998</v>
      </c>
      <c r="G16" s="346">
        <f t="shared" si="11"/>
        <v>0</v>
      </c>
      <c r="H16" s="346">
        <f t="shared" si="11"/>
        <v>0</v>
      </c>
      <c r="I16" s="346">
        <f t="shared" si="11"/>
        <v>42890.1</v>
      </c>
      <c r="J16" s="346">
        <f t="shared" si="11"/>
        <v>42890.1</v>
      </c>
      <c r="K16" s="346">
        <f t="shared" si="11"/>
        <v>41287.4</v>
      </c>
      <c r="L16" s="346">
        <f t="shared" si="11"/>
        <v>100.80000000000001</v>
      </c>
      <c r="M16" s="346">
        <f t="shared" si="11"/>
        <v>0.3</v>
      </c>
      <c r="N16" s="346">
        <f t="shared" si="11"/>
        <v>290.4</v>
      </c>
      <c r="O16" s="346">
        <f aca="true" t="shared" si="12" ref="O16:BJ16">SUM(O4:O15)</f>
        <v>0</v>
      </c>
      <c r="P16" s="346">
        <f t="shared" si="12"/>
        <v>0</v>
      </c>
      <c r="Q16" s="346">
        <f t="shared" si="12"/>
        <v>0</v>
      </c>
      <c r="R16" s="346">
        <f t="shared" si="12"/>
        <v>30</v>
      </c>
      <c r="S16" s="346">
        <f t="shared" si="12"/>
        <v>466.2</v>
      </c>
      <c r="T16" s="346">
        <f t="shared" si="12"/>
        <v>0</v>
      </c>
      <c r="U16" s="346">
        <f t="shared" si="12"/>
        <v>0</v>
      </c>
      <c r="V16" s="346">
        <f t="shared" si="12"/>
        <v>160</v>
      </c>
      <c r="W16" s="346">
        <f t="shared" si="12"/>
        <v>0</v>
      </c>
      <c r="X16" s="346">
        <f t="shared" si="12"/>
        <v>0</v>
      </c>
      <c r="Y16" s="346">
        <f t="shared" si="12"/>
        <v>64.99999999999999</v>
      </c>
      <c r="Z16" s="346">
        <f t="shared" si="12"/>
        <v>490</v>
      </c>
      <c r="AA16" s="346">
        <f t="shared" si="12"/>
        <v>0</v>
      </c>
      <c r="AB16" s="346">
        <f t="shared" si="12"/>
        <v>0</v>
      </c>
      <c r="AC16" s="346">
        <f t="shared" si="12"/>
        <v>42890.1</v>
      </c>
      <c r="AD16" s="346">
        <f t="shared" si="12"/>
        <v>0</v>
      </c>
      <c r="AE16" s="346">
        <f t="shared" si="12"/>
        <v>0</v>
      </c>
      <c r="AF16" s="346">
        <f t="shared" si="12"/>
        <v>0</v>
      </c>
      <c r="AG16" s="346">
        <f t="shared" si="12"/>
        <v>0</v>
      </c>
      <c r="AH16" s="346">
        <f t="shared" si="12"/>
        <v>42890.1</v>
      </c>
      <c r="AI16" s="346">
        <f t="shared" si="12"/>
        <v>0</v>
      </c>
      <c r="AJ16" s="346">
        <f t="shared" si="12"/>
        <v>-566.9</v>
      </c>
      <c r="AK16" s="346">
        <f t="shared" si="12"/>
        <v>-11.5</v>
      </c>
      <c r="AL16" s="346">
        <f t="shared" si="12"/>
        <v>96.8</v>
      </c>
      <c r="AM16" s="346">
        <f t="shared" si="12"/>
        <v>0</v>
      </c>
      <c r="AN16" s="346">
        <f t="shared" si="12"/>
        <v>0</v>
      </c>
      <c r="AO16" s="346">
        <f t="shared" si="12"/>
        <v>0</v>
      </c>
      <c r="AP16" s="346">
        <f t="shared" si="12"/>
        <v>0</v>
      </c>
      <c r="AQ16" s="346">
        <f t="shared" si="12"/>
        <v>455.4</v>
      </c>
      <c r="AR16" s="346">
        <f t="shared" si="12"/>
        <v>0</v>
      </c>
      <c r="AS16" s="346">
        <f t="shared" si="12"/>
        <v>0</v>
      </c>
      <c r="AT16" s="346">
        <f t="shared" si="12"/>
        <v>0</v>
      </c>
      <c r="AU16" s="346">
        <f t="shared" si="12"/>
        <v>0</v>
      </c>
      <c r="AV16" s="346">
        <f t="shared" si="12"/>
        <v>0</v>
      </c>
      <c r="AW16" s="346">
        <f t="shared" si="12"/>
        <v>0</v>
      </c>
      <c r="AX16" s="346">
        <f t="shared" si="12"/>
        <v>0</v>
      </c>
      <c r="AY16" s="346">
        <f t="shared" si="12"/>
        <v>0</v>
      </c>
      <c r="AZ16" s="346">
        <f t="shared" si="12"/>
        <v>0</v>
      </c>
      <c r="BA16" s="350">
        <f t="shared" si="12"/>
        <v>-26.199999999999996</v>
      </c>
      <c r="BB16" s="346">
        <f t="shared" si="12"/>
        <v>0</v>
      </c>
      <c r="BC16" s="346">
        <f t="shared" si="12"/>
        <v>0</v>
      </c>
      <c r="BD16" s="346">
        <f t="shared" si="12"/>
        <v>0</v>
      </c>
      <c r="BE16" s="346">
        <f t="shared" si="12"/>
        <v>0</v>
      </c>
      <c r="BF16" s="346">
        <f t="shared" si="12"/>
        <v>-26.199999999999996</v>
      </c>
      <c r="BG16" s="346">
        <f t="shared" si="12"/>
        <v>0</v>
      </c>
      <c r="BH16" s="346">
        <f t="shared" si="12"/>
        <v>0</v>
      </c>
      <c r="BI16" s="346">
        <f t="shared" si="12"/>
        <v>-26.199999999999534</v>
      </c>
      <c r="BJ16" s="346">
        <f t="shared" si="12"/>
        <v>-26.199999999999534</v>
      </c>
    </row>
    <row r="17" spans="1:62" s="8" customFormat="1" ht="25.5" customHeight="1">
      <c r="A17" s="67" t="s">
        <v>23</v>
      </c>
      <c r="B17" s="35">
        <v>211.5</v>
      </c>
      <c r="C17" s="34">
        <v>2.9</v>
      </c>
      <c r="D17" s="34"/>
      <c r="E17" s="279">
        <f t="shared" si="3"/>
        <v>214.4</v>
      </c>
      <c r="F17" s="38">
        <f t="shared" si="4"/>
        <v>214.4</v>
      </c>
      <c r="G17" s="41"/>
      <c r="H17" s="41">
        <v>467.7</v>
      </c>
      <c r="I17" s="86">
        <f>AH17-G17-H17</f>
        <v>10817.699999999999</v>
      </c>
      <c r="J17" s="87">
        <f t="shared" si="5"/>
        <v>11285.4</v>
      </c>
      <c r="K17" s="25">
        <v>10568.1</v>
      </c>
      <c r="L17" s="26">
        <v>539.4</v>
      </c>
      <c r="M17" s="26">
        <v>53.5</v>
      </c>
      <c r="N17" s="26">
        <v>39.3</v>
      </c>
      <c r="O17" s="26"/>
      <c r="P17" s="26"/>
      <c r="Q17" s="26"/>
      <c r="R17" s="26">
        <v>3</v>
      </c>
      <c r="S17" s="26">
        <v>21.7</v>
      </c>
      <c r="T17" s="26"/>
      <c r="U17" s="26"/>
      <c r="V17" s="26">
        <v>25.4</v>
      </c>
      <c r="W17" s="26"/>
      <c r="X17" s="26"/>
      <c r="Y17" s="26"/>
      <c r="Z17" s="26">
        <v>35</v>
      </c>
      <c r="AA17" s="26"/>
      <c r="AB17" s="26"/>
      <c r="AC17" s="88">
        <f>SUM(K17:AB17)</f>
        <v>11285.4</v>
      </c>
      <c r="AD17" s="26"/>
      <c r="AE17" s="26"/>
      <c r="AF17" s="26"/>
      <c r="AG17" s="88">
        <f aca="true" t="shared" si="13" ref="AG17:AG25">SUM(AD17:AF17)</f>
        <v>0</v>
      </c>
      <c r="AH17" s="88">
        <f>SUM(AC17+AG17)</f>
        <v>11285.4</v>
      </c>
      <c r="AI17" s="86">
        <f>K17-'hoaki dram18'!G19</f>
        <v>0</v>
      </c>
      <c r="AJ17" s="86">
        <f>L17-'hoaki dram18'!H19-B17</f>
        <v>97.5</v>
      </c>
      <c r="AK17" s="86">
        <f>M17-'hoaki dram18'!I19-C17</f>
        <v>18.300000000000004</v>
      </c>
      <c r="AL17" s="86">
        <f>N17-'hoaki dram18'!J19-D17</f>
        <v>13.099999999999998</v>
      </c>
      <c r="AM17" s="86">
        <f>O17-'hoaki dram18'!K19</f>
        <v>0</v>
      </c>
      <c r="AN17" s="86">
        <f>P17-'hoaki dram18'!L19</f>
        <v>0</v>
      </c>
      <c r="AO17" s="86">
        <f>Q17-'hoaki dram18'!M19</f>
        <v>0</v>
      </c>
      <c r="AP17" s="86">
        <f>R17-'hoaki dram18'!N19</f>
        <v>0</v>
      </c>
      <c r="AQ17" s="86">
        <f>S17-'hoaki dram18'!O19</f>
        <v>0</v>
      </c>
      <c r="AR17" s="86">
        <f>T17-'hoaki dram18'!P19</f>
        <v>0</v>
      </c>
      <c r="AS17" s="86">
        <f>U17-'hoaki dram18'!Q19</f>
        <v>0</v>
      </c>
      <c r="AT17" s="86">
        <f>V17-'hoaki dram18'!R19</f>
        <v>0</v>
      </c>
      <c r="AU17" s="86">
        <f>W17-'hoaki dram18'!S19</f>
        <v>0</v>
      </c>
      <c r="AV17" s="86">
        <f>X17-'hoaki dram18'!T19</f>
        <v>0</v>
      </c>
      <c r="AW17" s="86">
        <f>Y17-'hoaki dram18'!U19</f>
        <v>0</v>
      </c>
      <c r="AX17" s="86">
        <f>Z17-'hoaki dram18'!V19</f>
        <v>0</v>
      </c>
      <c r="AY17" s="86">
        <f>AA17-'hoaki dram18'!W19</f>
        <v>0</v>
      </c>
      <c r="AZ17" s="86">
        <f>AB17-'hoaki dram18'!X19</f>
        <v>0</v>
      </c>
      <c r="BA17" s="86">
        <f>AI17+AJ17+AK17+AL17+AM17+AN17+AO17+AP17+AQ17+AR17+AS17+AV17++AX17+AY17+AZ17+AW17+AT17+AU17</f>
        <v>128.9</v>
      </c>
      <c r="BB17" s="86">
        <f>AD17-'hoaki dram18'!Z19</f>
        <v>0</v>
      </c>
      <c r="BC17" s="86">
        <f>AE17-'hoaki dram18'!AA19</f>
        <v>0</v>
      </c>
      <c r="BD17" s="86">
        <f>AF17-'hoaki dram18'!AB19</f>
        <v>0</v>
      </c>
      <c r="BE17" s="86">
        <f>BB17+BC17+BD17</f>
        <v>0</v>
      </c>
      <c r="BF17" s="86">
        <f t="shared" si="10"/>
        <v>128.9</v>
      </c>
      <c r="BG17" s="91">
        <f>G17-'hoaki dram18'!C19</f>
        <v>0</v>
      </c>
      <c r="BH17" s="91">
        <f>H17-'hoaki dram18'!D19</f>
        <v>0</v>
      </c>
      <c r="BI17" s="91">
        <f>I17-'hoaki dram18'!E19-F17</f>
        <v>128.89999999999927</v>
      </c>
      <c r="BJ17" s="91">
        <f t="shared" si="9"/>
        <v>128.89999999999927</v>
      </c>
    </row>
    <row r="18" spans="1:62" s="8" customFormat="1" ht="25.5" customHeight="1">
      <c r="A18" s="80" t="s">
        <v>138</v>
      </c>
      <c r="B18" s="37">
        <v>0.5</v>
      </c>
      <c r="C18" s="36">
        <v>0.5</v>
      </c>
      <c r="D18" s="36"/>
      <c r="E18" s="279">
        <f t="shared" si="3"/>
        <v>1</v>
      </c>
      <c r="F18" s="38">
        <f t="shared" si="4"/>
        <v>1</v>
      </c>
      <c r="G18" s="42"/>
      <c r="H18" s="42">
        <v>194.9</v>
      </c>
      <c r="I18" s="86">
        <f>AH18-G18-H18</f>
        <v>5094.6</v>
      </c>
      <c r="J18" s="87">
        <f t="shared" si="5"/>
        <v>5289.5</v>
      </c>
      <c r="K18" s="24">
        <v>5141.8</v>
      </c>
      <c r="L18" s="7">
        <v>81.8</v>
      </c>
      <c r="M18" s="7">
        <v>18</v>
      </c>
      <c r="N18" s="7">
        <v>24.9</v>
      </c>
      <c r="O18" s="7"/>
      <c r="P18" s="7"/>
      <c r="Q18" s="7"/>
      <c r="R18" s="7">
        <v>3</v>
      </c>
      <c r="S18" s="7"/>
      <c r="T18" s="7"/>
      <c r="U18" s="7"/>
      <c r="V18" s="7">
        <v>13</v>
      </c>
      <c r="W18" s="7"/>
      <c r="X18" s="7"/>
      <c r="Y18" s="7"/>
      <c r="Z18" s="7">
        <v>7</v>
      </c>
      <c r="AA18" s="7"/>
      <c r="AB18" s="7"/>
      <c r="AC18" s="89">
        <f>SUM(K18:AB18)</f>
        <v>5289.5</v>
      </c>
      <c r="AD18" s="7"/>
      <c r="AE18" s="7"/>
      <c r="AF18" s="7"/>
      <c r="AG18" s="89">
        <f t="shared" si="13"/>
        <v>0</v>
      </c>
      <c r="AH18" s="89">
        <f>SUM(AC18,AG18)</f>
        <v>5289.5</v>
      </c>
      <c r="AI18" s="86">
        <f>K18-'hoaki dram18'!G20</f>
        <v>0</v>
      </c>
      <c r="AJ18" s="86">
        <f>L18-'hoaki dram18'!H20-B18</f>
        <v>0</v>
      </c>
      <c r="AK18" s="86">
        <f>M18-'hoaki dram18'!I20-C18</f>
        <v>6.9</v>
      </c>
      <c r="AL18" s="86">
        <f>N18-'hoaki dram18'!J20-D18</f>
        <v>8.299999999999997</v>
      </c>
      <c r="AM18" s="86">
        <f>O18-'hoaki dram18'!K20</f>
        <v>0</v>
      </c>
      <c r="AN18" s="86">
        <f>P18-'hoaki dram18'!L20</f>
        <v>0</v>
      </c>
      <c r="AO18" s="86">
        <f>Q18-'hoaki dram18'!M20</f>
        <v>0</v>
      </c>
      <c r="AP18" s="86">
        <f>R18-'hoaki dram18'!N20</f>
        <v>0</v>
      </c>
      <c r="AQ18" s="86">
        <f>S18-'hoaki dram18'!O20</f>
        <v>0</v>
      </c>
      <c r="AR18" s="86">
        <f>T18-'hoaki dram18'!P20</f>
        <v>0</v>
      </c>
      <c r="AS18" s="86">
        <f>U18-'hoaki dram18'!Q20</f>
        <v>0</v>
      </c>
      <c r="AT18" s="86">
        <f>V18-'hoaki dram18'!R20</f>
        <v>0</v>
      </c>
      <c r="AU18" s="86">
        <f>W18-'hoaki dram18'!S20</f>
        <v>0</v>
      </c>
      <c r="AV18" s="86">
        <f>X18-'hoaki dram18'!T20</f>
        <v>0</v>
      </c>
      <c r="AW18" s="86">
        <f>Y18-'hoaki dram18'!U20</f>
        <v>0</v>
      </c>
      <c r="AX18" s="86">
        <f>Z18-'hoaki dram18'!V20</f>
        <v>0</v>
      </c>
      <c r="AY18" s="86">
        <f>AA18-'hoaki dram18'!W20</f>
        <v>0</v>
      </c>
      <c r="AZ18" s="86">
        <f>AB18-'hoaki dram18'!X20</f>
        <v>0</v>
      </c>
      <c r="BA18" s="86">
        <f>AI18+AJ18+AK18+AL18+AM18+AN18+AO18+AP18+AQ18+AR18+AS18+AV18++AX18+AY18+AZ18+AW18+AT18+AU18</f>
        <v>15.199999999999998</v>
      </c>
      <c r="BB18" s="86">
        <f>AD18-'hoaki dram18'!Z20</f>
        <v>0</v>
      </c>
      <c r="BC18" s="86">
        <f>AE18-'hoaki dram18'!AA20</f>
        <v>0</v>
      </c>
      <c r="BD18" s="86">
        <f>AF18-'hoaki dram18'!AB20</f>
        <v>0</v>
      </c>
      <c r="BE18" s="86">
        <f aca="true" t="shared" si="14" ref="BE18:BE27">BB18+BC18+BD18</f>
        <v>0</v>
      </c>
      <c r="BF18" s="86">
        <f t="shared" si="10"/>
        <v>15.199999999999998</v>
      </c>
      <c r="BG18" s="91">
        <f>G18-'hoaki dram18'!C20</f>
        <v>0</v>
      </c>
      <c r="BH18" s="91">
        <f>H18-'hoaki dram18'!D20</f>
        <v>0</v>
      </c>
      <c r="BI18" s="91">
        <f>I18-'hoaki dram18'!E20-F18</f>
        <v>15.200000000000728</v>
      </c>
      <c r="BJ18" s="91">
        <f t="shared" si="9"/>
        <v>15.200000000000728</v>
      </c>
    </row>
    <row r="19" spans="1:62" s="8" customFormat="1" ht="25.5" customHeight="1">
      <c r="A19" s="79" t="s">
        <v>139</v>
      </c>
      <c r="B19" s="37">
        <v>170.7</v>
      </c>
      <c r="C19" s="36">
        <v>7.6</v>
      </c>
      <c r="D19" s="36">
        <v>0.2</v>
      </c>
      <c r="E19" s="279">
        <f t="shared" si="3"/>
        <v>178.49999999999997</v>
      </c>
      <c r="F19" s="38">
        <f t="shared" si="4"/>
        <v>178.49999999999997</v>
      </c>
      <c r="G19" s="42"/>
      <c r="H19" s="42"/>
      <c r="I19" s="86">
        <f>AH19-G19-H19</f>
        <v>7331.699999999999</v>
      </c>
      <c r="J19" s="87">
        <f t="shared" si="5"/>
        <v>7331.699999999999</v>
      </c>
      <c r="K19" s="24">
        <v>5559.6</v>
      </c>
      <c r="L19" s="7">
        <v>1154.5</v>
      </c>
      <c r="M19" s="7">
        <v>32.4</v>
      </c>
      <c r="N19" s="7">
        <v>24.9</v>
      </c>
      <c r="O19" s="7"/>
      <c r="P19" s="7">
        <v>467.4</v>
      </c>
      <c r="Q19" s="7"/>
      <c r="R19" s="7">
        <v>3</v>
      </c>
      <c r="S19" s="7">
        <v>33.9</v>
      </c>
      <c r="T19" s="7"/>
      <c r="U19" s="9"/>
      <c r="V19" s="7">
        <v>15</v>
      </c>
      <c r="W19" s="7"/>
      <c r="X19" s="7"/>
      <c r="Y19" s="7">
        <v>6</v>
      </c>
      <c r="Z19" s="7">
        <v>35</v>
      </c>
      <c r="AA19" s="7"/>
      <c r="AB19" s="7"/>
      <c r="AC19" s="89">
        <f>SUM(K19:AB19)</f>
        <v>7331.699999999999</v>
      </c>
      <c r="AD19" s="7"/>
      <c r="AE19" s="7"/>
      <c r="AF19" s="7"/>
      <c r="AG19" s="89">
        <f t="shared" si="13"/>
        <v>0</v>
      </c>
      <c r="AH19" s="89">
        <f>SUM(AC19,AG19)</f>
        <v>7331.699999999999</v>
      </c>
      <c r="AI19" s="86">
        <f>K19-'hoaki dram18'!G21</f>
        <v>0</v>
      </c>
      <c r="AJ19" s="86">
        <f>L19-'hoaki dram18'!H21-B19</f>
        <v>198.40000000000003</v>
      </c>
      <c r="AK19" s="86">
        <f>M19-'hoaki dram18'!I21-C19</f>
        <v>8.9</v>
      </c>
      <c r="AL19" s="86">
        <f>N19-'hoaki dram18'!J21-D19</f>
        <v>8.3</v>
      </c>
      <c r="AM19" s="86">
        <f>O19-'hoaki dram18'!K21</f>
        <v>0</v>
      </c>
      <c r="AN19" s="86">
        <f>P19-'hoaki dram18'!L21</f>
        <v>0</v>
      </c>
      <c r="AO19" s="86">
        <f>Q19-'hoaki dram18'!M21</f>
        <v>0</v>
      </c>
      <c r="AP19" s="86">
        <f>R19-'hoaki dram18'!N21</f>
        <v>0</v>
      </c>
      <c r="AQ19" s="86">
        <f>S19-'hoaki dram18'!O21</f>
        <v>0</v>
      </c>
      <c r="AR19" s="86">
        <f>T19-'hoaki dram18'!P21</f>
        <v>0</v>
      </c>
      <c r="AS19" s="86">
        <f>U19-'hoaki dram18'!Q21</f>
        <v>0</v>
      </c>
      <c r="AT19" s="86">
        <f>V19-'hoaki dram18'!R21</f>
        <v>0</v>
      </c>
      <c r="AU19" s="86">
        <f>W19-'hoaki dram18'!S21</f>
        <v>0</v>
      </c>
      <c r="AV19" s="86">
        <f>X19-'hoaki dram18'!T21</f>
        <v>0</v>
      </c>
      <c r="AW19" s="86">
        <f>Y19-'hoaki dram18'!U21</f>
        <v>0</v>
      </c>
      <c r="AX19" s="86">
        <f>Z19-'hoaki dram18'!V21</f>
        <v>0</v>
      </c>
      <c r="AY19" s="86">
        <f>AA19-'hoaki dram18'!W21</f>
        <v>0</v>
      </c>
      <c r="AZ19" s="86">
        <f>AB19-'hoaki dram18'!X21</f>
        <v>0</v>
      </c>
      <c r="BA19" s="86">
        <f>AI19+AJ19+AK19+AL19+AM19+AN19+AO19+AP19+AQ19+AR19+AS19+AV19++AX19+AY19+AZ19+AW19+AT19+AU19</f>
        <v>215.60000000000005</v>
      </c>
      <c r="BB19" s="86">
        <f>AD19-'hoaki dram18'!Z21</f>
        <v>0</v>
      </c>
      <c r="BC19" s="86">
        <f>AE19-'hoaki dram18'!AA21</f>
        <v>0</v>
      </c>
      <c r="BD19" s="86">
        <f>AF19-'hoaki dram18'!AB21</f>
        <v>0</v>
      </c>
      <c r="BE19" s="86">
        <f t="shared" si="14"/>
        <v>0</v>
      </c>
      <c r="BF19" s="86">
        <f t="shared" si="10"/>
        <v>215.60000000000005</v>
      </c>
      <c r="BG19" s="91">
        <f>G19-'hoaki dram18'!C21</f>
        <v>0</v>
      </c>
      <c r="BH19" s="91">
        <f>H19-'hoaki dram18'!D21</f>
        <v>0</v>
      </c>
      <c r="BI19" s="91">
        <f>I19-'hoaki dram18'!E21-F19</f>
        <v>215.59999999999857</v>
      </c>
      <c r="BJ19" s="91">
        <f t="shared" si="9"/>
        <v>215.59999999999857</v>
      </c>
    </row>
    <row r="20" spans="1:62" s="8" customFormat="1" ht="25.5" customHeight="1">
      <c r="A20" s="79" t="s">
        <v>102</v>
      </c>
      <c r="B20" s="37">
        <v>146.6</v>
      </c>
      <c r="C20" s="36"/>
      <c r="D20" s="36"/>
      <c r="E20" s="279">
        <f t="shared" si="3"/>
        <v>146.6</v>
      </c>
      <c r="F20" s="38">
        <f t="shared" si="4"/>
        <v>146.6</v>
      </c>
      <c r="G20" s="42"/>
      <c r="H20" s="42"/>
      <c r="I20" s="86">
        <f>AH20-G20-H20</f>
        <v>3953.7</v>
      </c>
      <c r="J20" s="87">
        <f t="shared" si="5"/>
        <v>3953.7</v>
      </c>
      <c r="K20" s="24">
        <v>3246.9</v>
      </c>
      <c r="L20" s="7">
        <v>320.8</v>
      </c>
      <c r="M20" s="7">
        <v>19.2</v>
      </c>
      <c r="N20" s="7">
        <v>24.9</v>
      </c>
      <c r="O20" s="7"/>
      <c r="P20" s="7">
        <v>295.2</v>
      </c>
      <c r="Q20" s="7"/>
      <c r="R20" s="7">
        <v>3</v>
      </c>
      <c r="S20" s="7">
        <v>14.2</v>
      </c>
      <c r="T20" s="7"/>
      <c r="U20" s="7"/>
      <c r="V20" s="7">
        <v>15</v>
      </c>
      <c r="W20" s="7"/>
      <c r="X20" s="7"/>
      <c r="Y20" s="7">
        <v>4.5</v>
      </c>
      <c r="Z20" s="7">
        <v>10</v>
      </c>
      <c r="AA20" s="7"/>
      <c r="AB20" s="7"/>
      <c r="AC20" s="89">
        <f>SUM(K20:AB20)</f>
        <v>3953.7</v>
      </c>
      <c r="AD20" s="7"/>
      <c r="AE20" s="7"/>
      <c r="AF20" s="7"/>
      <c r="AG20" s="89">
        <f t="shared" si="13"/>
        <v>0</v>
      </c>
      <c r="AH20" s="89">
        <f>SUM(AC20,AG20)</f>
        <v>3953.7</v>
      </c>
      <c r="AI20" s="86">
        <f>K20-'hoaki dram18'!G22</f>
        <v>0</v>
      </c>
      <c r="AJ20" s="86">
        <f>L20-'hoaki dram18'!H22-B20</f>
        <v>39.20000000000002</v>
      </c>
      <c r="AK20" s="86">
        <f>M20-'hoaki dram18'!I22-C20</f>
        <v>4.699999999999999</v>
      </c>
      <c r="AL20" s="86">
        <f>N20-'hoaki dram18'!J22-D20</f>
        <v>8.299999999999997</v>
      </c>
      <c r="AM20" s="86">
        <f>O20-'hoaki dram18'!K22</f>
        <v>0</v>
      </c>
      <c r="AN20" s="86">
        <f>P20-'hoaki dram18'!L22</f>
        <v>0</v>
      </c>
      <c r="AO20" s="86">
        <f>Q20-'hoaki dram18'!M22</f>
        <v>0</v>
      </c>
      <c r="AP20" s="86">
        <f>R20-'hoaki dram18'!N22</f>
        <v>0</v>
      </c>
      <c r="AQ20" s="86">
        <f>S20-'hoaki dram18'!O22</f>
        <v>0</v>
      </c>
      <c r="AR20" s="86">
        <f>T20-'hoaki dram18'!P22</f>
        <v>0</v>
      </c>
      <c r="AS20" s="86">
        <f>U20-'hoaki dram18'!Q22</f>
        <v>0</v>
      </c>
      <c r="AT20" s="86">
        <f>V20-'hoaki dram18'!R22</f>
        <v>0</v>
      </c>
      <c r="AU20" s="86">
        <f>W20-'hoaki dram18'!S22</f>
        <v>0</v>
      </c>
      <c r="AV20" s="86">
        <f>X20-'hoaki dram18'!T22</f>
        <v>0</v>
      </c>
      <c r="AW20" s="86">
        <f>Y20-'hoaki dram18'!U22</f>
        <v>0</v>
      </c>
      <c r="AX20" s="86">
        <f>Z20-'hoaki dram18'!V22</f>
        <v>0</v>
      </c>
      <c r="AY20" s="86">
        <f>AA20-'hoaki dram18'!W22</f>
        <v>0</v>
      </c>
      <c r="AZ20" s="86">
        <f>AB20-'hoaki dram18'!X22</f>
        <v>0</v>
      </c>
      <c r="BA20" s="86">
        <f>AI20+AJ20+AK20+AL20+AM20+AN20+AO20+AP20+AQ20+AR20+AS20+AV20++AX20+AY20+AZ20+AW20+AT20+AU20</f>
        <v>52.20000000000002</v>
      </c>
      <c r="BB20" s="86">
        <f>AD20-'hoaki dram18'!Z22</f>
        <v>0</v>
      </c>
      <c r="BC20" s="86">
        <f>AE20-'hoaki dram18'!AA22</f>
        <v>0</v>
      </c>
      <c r="BD20" s="86">
        <f>AF20-'hoaki dram18'!AB22</f>
        <v>0</v>
      </c>
      <c r="BE20" s="86">
        <f t="shared" si="14"/>
        <v>0</v>
      </c>
      <c r="BF20" s="86">
        <f t="shared" si="10"/>
        <v>52.20000000000002</v>
      </c>
      <c r="BG20" s="91">
        <f>G20-'hoaki dram18'!C22</f>
        <v>0</v>
      </c>
      <c r="BH20" s="91">
        <f>H20-'hoaki dram18'!D22</f>
        <v>0</v>
      </c>
      <c r="BI20" s="91">
        <f>I20-'hoaki dram18'!E22-F20</f>
        <v>52.19999999999973</v>
      </c>
      <c r="BJ20" s="91">
        <f t="shared" si="9"/>
        <v>52.19999999999973</v>
      </c>
    </row>
    <row r="21" spans="1:62" s="8" customFormat="1" ht="25.5" customHeight="1" thickBot="1">
      <c r="A21" s="247" t="s">
        <v>51</v>
      </c>
      <c r="B21" s="53">
        <v>82.5</v>
      </c>
      <c r="C21" s="54">
        <v>0.1</v>
      </c>
      <c r="D21" s="54"/>
      <c r="E21" s="284">
        <f t="shared" si="3"/>
        <v>82.6</v>
      </c>
      <c r="F21" s="285">
        <f t="shared" si="4"/>
        <v>82.6</v>
      </c>
      <c r="G21" s="55"/>
      <c r="H21" s="55"/>
      <c r="I21" s="92">
        <f>AH21-G21-H21</f>
        <v>2563.8</v>
      </c>
      <c r="J21" s="286">
        <f t="shared" si="5"/>
        <v>2563.8</v>
      </c>
      <c r="K21" s="56">
        <v>2193.2</v>
      </c>
      <c r="L21" s="57">
        <v>317.3</v>
      </c>
      <c r="M21" s="57">
        <v>10.4</v>
      </c>
      <c r="N21" s="57">
        <v>24.9</v>
      </c>
      <c r="O21" s="57"/>
      <c r="P21" s="57"/>
      <c r="Q21" s="57"/>
      <c r="R21" s="57">
        <v>3</v>
      </c>
      <c r="S21" s="57"/>
      <c r="T21" s="57"/>
      <c r="U21" s="57"/>
      <c r="V21" s="57">
        <v>10</v>
      </c>
      <c r="W21" s="57"/>
      <c r="X21" s="57"/>
      <c r="Y21" s="57"/>
      <c r="Z21" s="57">
        <v>5</v>
      </c>
      <c r="AA21" s="57"/>
      <c r="AB21" s="57"/>
      <c r="AC21" s="90">
        <f>SUM(K21:AB21)</f>
        <v>2563.8</v>
      </c>
      <c r="AD21" s="57"/>
      <c r="AE21" s="57"/>
      <c r="AF21" s="57"/>
      <c r="AG21" s="90">
        <f t="shared" si="13"/>
        <v>0</v>
      </c>
      <c r="AH21" s="90">
        <f>SUM(AC21,AG21)</f>
        <v>2563.8</v>
      </c>
      <c r="AI21" s="92">
        <f>K21-'hoaki dram18'!G23</f>
        <v>0</v>
      </c>
      <c r="AJ21" s="92">
        <f>L21-'hoaki dram18'!H23-B21</f>
        <v>56.5</v>
      </c>
      <c r="AK21" s="92">
        <f>M21-'hoaki dram18'!I23-C21</f>
        <v>3.5000000000000004</v>
      </c>
      <c r="AL21" s="92">
        <f>N21-'hoaki dram18'!J23-D21</f>
        <v>8.299999999999997</v>
      </c>
      <c r="AM21" s="92">
        <f>O21-'hoaki dram18'!K23</f>
        <v>0</v>
      </c>
      <c r="AN21" s="92">
        <f>P21-'hoaki dram18'!L23</f>
        <v>0</v>
      </c>
      <c r="AO21" s="92">
        <f>Q21-'hoaki dram18'!M23</f>
        <v>0</v>
      </c>
      <c r="AP21" s="92">
        <f>R21-'hoaki dram18'!N23</f>
        <v>0</v>
      </c>
      <c r="AQ21" s="92">
        <f>S21-'hoaki dram18'!O23</f>
        <v>0</v>
      </c>
      <c r="AR21" s="92">
        <f>T21-'hoaki dram18'!P23</f>
        <v>0</v>
      </c>
      <c r="AS21" s="92">
        <f>U21-'hoaki dram18'!Q23</f>
        <v>0</v>
      </c>
      <c r="AT21" s="92">
        <f>V21-'hoaki dram18'!R23</f>
        <v>0</v>
      </c>
      <c r="AU21" s="92">
        <f>W21-'hoaki dram18'!S23</f>
        <v>0</v>
      </c>
      <c r="AV21" s="92">
        <f>X21-'hoaki dram18'!T23</f>
        <v>0</v>
      </c>
      <c r="AW21" s="92">
        <f>Y21-'hoaki dram18'!U23</f>
        <v>0</v>
      </c>
      <c r="AX21" s="92">
        <f>Z21-'hoaki dram18'!V23</f>
        <v>0</v>
      </c>
      <c r="AY21" s="92">
        <f>AA21-'hoaki dram18'!W23</f>
        <v>0</v>
      </c>
      <c r="AZ21" s="92">
        <f>AB21-'hoaki dram18'!X23</f>
        <v>0</v>
      </c>
      <c r="BA21" s="92">
        <f>AI21+AJ21+AK21+AL21+AM21+AN21+AO21+AP21+AQ21+AR21+AS21+AV21++AX21+AY21+AZ21+AW21+AT21+AU21</f>
        <v>68.3</v>
      </c>
      <c r="BB21" s="92">
        <f>AD21-'hoaki dram18'!Z23</f>
        <v>0</v>
      </c>
      <c r="BC21" s="92">
        <f>AE21-'hoaki dram18'!AA23</f>
        <v>0</v>
      </c>
      <c r="BD21" s="92">
        <f>AF21-'hoaki dram18'!AB23</f>
        <v>0</v>
      </c>
      <c r="BE21" s="92">
        <f t="shared" si="14"/>
        <v>0</v>
      </c>
      <c r="BF21" s="92">
        <f t="shared" si="10"/>
        <v>68.3</v>
      </c>
      <c r="BG21" s="249">
        <f>G21-'hoaki dram18'!C23</f>
        <v>0</v>
      </c>
      <c r="BH21" s="249">
        <f>H21-'hoaki dram18'!D23</f>
        <v>0</v>
      </c>
      <c r="BI21" s="249">
        <f>I21-'hoaki dram18'!E23-F21</f>
        <v>68.3000000000001</v>
      </c>
      <c r="BJ21" s="91">
        <f t="shared" si="9"/>
        <v>68.3000000000001</v>
      </c>
    </row>
    <row r="22" spans="1:62" s="23" customFormat="1" ht="25.5" customHeight="1" thickBot="1">
      <c r="A22" s="68" t="s">
        <v>119</v>
      </c>
      <c r="B22" s="346">
        <f>B17+B18+B19+B20+B21</f>
        <v>611.8</v>
      </c>
      <c r="C22" s="346">
        <f aca="true" t="shared" si="15" ref="C22:BJ22">C17+C18+C19+C20+C21</f>
        <v>11.1</v>
      </c>
      <c r="D22" s="346">
        <f t="shared" si="15"/>
        <v>0.2</v>
      </c>
      <c r="E22" s="346">
        <f t="shared" si="15"/>
        <v>623.1</v>
      </c>
      <c r="F22" s="346">
        <f t="shared" si="15"/>
        <v>623.1</v>
      </c>
      <c r="G22" s="346">
        <f t="shared" si="15"/>
        <v>0</v>
      </c>
      <c r="H22" s="346">
        <f t="shared" si="15"/>
        <v>662.6</v>
      </c>
      <c r="I22" s="346">
        <f t="shared" si="15"/>
        <v>29761.5</v>
      </c>
      <c r="J22" s="346">
        <f t="shared" si="15"/>
        <v>30424.1</v>
      </c>
      <c r="K22" s="346">
        <f t="shared" si="15"/>
        <v>26709.600000000002</v>
      </c>
      <c r="L22" s="346">
        <f t="shared" si="15"/>
        <v>2413.8</v>
      </c>
      <c r="M22" s="346">
        <f t="shared" si="15"/>
        <v>133.5</v>
      </c>
      <c r="N22" s="346">
        <f t="shared" si="15"/>
        <v>138.9</v>
      </c>
      <c r="O22" s="346">
        <f t="shared" si="15"/>
        <v>0</v>
      </c>
      <c r="P22" s="346">
        <f t="shared" si="15"/>
        <v>762.5999999999999</v>
      </c>
      <c r="Q22" s="346">
        <f t="shared" si="15"/>
        <v>0</v>
      </c>
      <c r="R22" s="346">
        <f t="shared" si="15"/>
        <v>15</v>
      </c>
      <c r="S22" s="346">
        <f t="shared" si="15"/>
        <v>69.8</v>
      </c>
      <c r="T22" s="346">
        <f t="shared" si="15"/>
        <v>0</v>
      </c>
      <c r="U22" s="346">
        <f t="shared" si="15"/>
        <v>0</v>
      </c>
      <c r="V22" s="346">
        <f t="shared" si="15"/>
        <v>78.4</v>
      </c>
      <c r="W22" s="346">
        <f t="shared" si="15"/>
        <v>0</v>
      </c>
      <c r="X22" s="346">
        <f t="shared" si="15"/>
        <v>0</v>
      </c>
      <c r="Y22" s="346">
        <f t="shared" si="15"/>
        <v>10.5</v>
      </c>
      <c r="Z22" s="346">
        <f t="shared" si="15"/>
        <v>92</v>
      </c>
      <c r="AA22" s="346">
        <f t="shared" si="15"/>
        <v>0</v>
      </c>
      <c r="AB22" s="346">
        <f t="shared" si="15"/>
        <v>0</v>
      </c>
      <c r="AC22" s="346">
        <f t="shared" si="15"/>
        <v>30424.1</v>
      </c>
      <c r="AD22" s="346">
        <f t="shared" si="15"/>
        <v>0</v>
      </c>
      <c r="AE22" s="346">
        <f t="shared" si="15"/>
        <v>0</v>
      </c>
      <c r="AF22" s="346">
        <f t="shared" si="15"/>
        <v>0</v>
      </c>
      <c r="AG22" s="346">
        <f t="shared" si="15"/>
        <v>0</v>
      </c>
      <c r="AH22" s="346">
        <f t="shared" si="15"/>
        <v>30424.1</v>
      </c>
      <c r="AI22" s="346">
        <f t="shared" si="15"/>
        <v>0</v>
      </c>
      <c r="AJ22" s="346">
        <f t="shared" si="15"/>
        <v>391.6</v>
      </c>
      <c r="AK22" s="346">
        <f t="shared" si="15"/>
        <v>42.3</v>
      </c>
      <c r="AL22" s="346">
        <f t="shared" si="15"/>
        <v>46.29999999999999</v>
      </c>
      <c r="AM22" s="346">
        <f t="shared" si="15"/>
        <v>0</v>
      </c>
      <c r="AN22" s="346">
        <f t="shared" si="15"/>
        <v>0</v>
      </c>
      <c r="AO22" s="346">
        <f t="shared" si="15"/>
        <v>0</v>
      </c>
      <c r="AP22" s="346">
        <f t="shared" si="15"/>
        <v>0</v>
      </c>
      <c r="AQ22" s="346">
        <f t="shared" si="15"/>
        <v>0</v>
      </c>
      <c r="AR22" s="346">
        <f t="shared" si="15"/>
        <v>0</v>
      </c>
      <c r="AS22" s="346">
        <f t="shared" si="15"/>
        <v>0</v>
      </c>
      <c r="AT22" s="346">
        <f t="shared" si="15"/>
        <v>0</v>
      </c>
      <c r="AU22" s="346">
        <f t="shared" si="15"/>
        <v>0</v>
      </c>
      <c r="AV22" s="346">
        <f t="shared" si="15"/>
        <v>0</v>
      </c>
      <c r="AW22" s="346">
        <f t="shared" si="15"/>
        <v>0</v>
      </c>
      <c r="AX22" s="346">
        <f t="shared" si="15"/>
        <v>0</v>
      </c>
      <c r="AY22" s="346">
        <f t="shared" si="15"/>
        <v>0</v>
      </c>
      <c r="AZ22" s="346">
        <f t="shared" si="15"/>
        <v>0</v>
      </c>
      <c r="BA22" s="346">
        <f t="shared" si="15"/>
        <v>480.2000000000001</v>
      </c>
      <c r="BB22" s="346">
        <f t="shared" si="15"/>
        <v>0</v>
      </c>
      <c r="BC22" s="346">
        <f t="shared" si="15"/>
        <v>0</v>
      </c>
      <c r="BD22" s="346">
        <f t="shared" si="15"/>
        <v>0</v>
      </c>
      <c r="BE22" s="346">
        <f t="shared" si="15"/>
        <v>0</v>
      </c>
      <c r="BF22" s="346">
        <f t="shared" si="15"/>
        <v>480.2000000000001</v>
      </c>
      <c r="BG22" s="346">
        <f t="shared" si="15"/>
        <v>0</v>
      </c>
      <c r="BH22" s="346">
        <f t="shared" si="15"/>
        <v>0</v>
      </c>
      <c r="BI22" s="346">
        <f t="shared" si="15"/>
        <v>480.19999999999834</v>
      </c>
      <c r="BJ22" s="346">
        <f t="shared" si="15"/>
        <v>480.19999999999834</v>
      </c>
    </row>
    <row r="23" spans="1:62" s="8" customFormat="1" ht="25.5" customHeight="1">
      <c r="A23" s="287" t="s">
        <v>140</v>
      </c>
      <c r="B23" s="35">
        <v>17.5</v>
      </c>
      <c r="C23" s="34">
        <v>1.2</v>
      </c>
      <c r="D23" s="34"/>
      <c r="E23" s="279">
        <f t="shared" si="3"/>
        <v>18.7</v>
      </c>
      <c r="F23" s="38">
        <f t="shared" si="4"/>
        <v>18.7</v>
      </c>
      <c r="G23" s="41"/>
      <c r="H23" s="41"/>
      <c r="I23" s="86">
        <f>AH23-G23-H23</f>
        <v>4695.7</v>
      </c>
      <c r="J23" s="87">
        <f t="shared" si="5"/>
        <v>4695.7</v>
      </c>
      <c r="K23" s="25">
        <v>4581</v>
      </c>
      <c r="L23" s="26">
        <v>48.6</v>
      </c>
      <c r="M23" s="26">
        <v>16.4</v>
      </c>
      <c r="N23" s="26">
        <v>25.2</v>
      </c>
      <c r="O23" s="26"/>
      <c r="P23" s="26"/>
      <c r="Q23" s="26"/>
      <c r="R23" s="26">
        <v>3</v>
      </c>
      <c r="S23" s="26"/>
      <c r="T23" s="26"/>
      <c r="U23" s="26"/>
      <c r="V23" s="26">
        <v>10</v>
      </c>
      <c r="W23" s="26"/>
      <c r="X23" s="26"/>
      <c r="Y23" s="26"/>
      <c r="Z23" s="26">
        <v>11.5</v>
      </c>
      <c r="AA23" s="26"/>
      <c r="AB23" s="26"/>
      <c r="AC23" s="88">
        <f>SUM(K23:AB23)</f>
        <v>4695.7</v>
      </c>
      <c r="AD23" s="26"/>
      <c r="AE23" s="26"/>
      <c r="AF23" s="26"/>
      <c r="AG23" s="88">
        <f t="shared" si="13"/>
        <v>0</v>
      </c>
      <c r="AH23" s="88">
        <f>SUM(AC23,AG23)</f>
        <v>4695.7</v>
      </c>
      <c r="AI23" s="86">
        <f>K23-'hoaki dram18'!G25</f>
        <v>-69.30000000000018</v>
      </c>
      <c r="AJ23" s="86">
        <f>L23-'hoaki dram18'!H25-B23</f>
        <v>21.299999999999997</v>
      </c>
      <c r="AK23" s="86">
        <f>M23-'hoaki dram18'!I25-C23</f>
        <v>5.699999999999998</v>
      </c>
      <c r="AL23" s="86">
        <f>N23-'hoaki dram18'!J25-D23</f>
        <v>8.399999999999999</v>
      </c>
      <c r="AM23" s="86">
        <f>O23-'hoaki dram18'!K25</f>
        <v>0</v>
      </c>
      <c r="AN23" s="86">
        <f>P23-'hoaki dram18'!L25</f>
        <v>0</v>
      </c>
      <c r="AO23" s="86">
        <f>Q23-'hoaki dram18'!M25</f>
        <v>0</v>
      </c>
      <c r="AP23" s="86">
        <f>R23-'hoaki dram18'!N25</f>
        <v>0</v>
      </c>
      <c r="AQ23" s="86">
        <f>S23-'hoaki dram18'!O25</f>
        <v>0</v>
      </c>
      <c r="AR23" s="86">
        <f>T23-'hoaki dram18'!P25</f>
        <v>0</v>
      </c>
      <c r="AS23" s="86">
        <f>U23-'hoaki dram18'!Q25</f>
        <v>0</v>
      </c>
      <c r="AT23" s="86">
        <f>V23-'hoaki dram18'!R25</f>
        <v>0</v>
      </c>
      <c r="AU23" s="86">
        <f>W23-'hoaki dram18'!S25</f>
        <v>0</v>
      </c>
      <c r="AV23" s="86">
        <f>X23-'hoaki dram18'!T25</f>
        <v>0</v>
      </c>
      <c r="AW23" s="86">
        <f>Y23-'hoaki dram18'!U25</f>
        <v>0</v>
      </c>
      <c r="AX23" s="86">
        <f>Z23-'hoaki dram18'!V25</f>
        <v>0</v>
      </c>
      <c r="AY23" s="86">
        <f>AA23-'hoaki dram18'!W25</f>
        <v>0</v>
      </c>
      <c r="AZ23" s="86">
        <f>AB23-'hoaki dram18'!X25</f>
        <v>0</v>
      </c>
      <c r="BA23" s="86">
        <f>AI23+AJ23+AK23+AL23+AM23+AN23+AO23+AP23+AQ23+AR23+AS23+AV23++AX23+AY23+AZ23+AW23+AT23+AU23</f>
        <v>-33.90000000000019</v>
      </c>
      <c r="BB23" s="86">
        <f>AD23-'hoaki dram18'!Z25</f>
        <v>0</v>
      </c>
      <c r="BC23" s="86">
        <f>AE23-'hoaki dram18'!AA25</f>
        <v>0</v>
      </c>
      <c r="BD23" s="86">
        <f>AF23-'hoaki dram18'!AB25</f>
        <v>0</v>
      </c>
      <c r="BE23" s="86">
        <f t="shared" si="14"/>
        <v>0</v>
      </c>
      <c r="BF23" s="86">
        <f t="shared" si="10"/>
        <v>-33.90000000000019</v>
      </c>
      <c r="BG23" s="91">
        <f>G23-'hoaki dram18'!C25</f>
        <v>0</v>
      </c>
      <c r="BH23" s="91">
        <f>H23-'hoaki dram18'!D25</f>
        <v>0</v>
      </c>
      <c r="BI23" s="91">
        <f>I23-'hoaki dram18'!E25-F23</f>
        <v>-33.89999999999982</v>
      </c>
      <c r="BJ23" s="91">
        <f t="shared" si="9"/>
        <v>-33.89999999999982</v>
      </c>
    </row>
    <row r="24" spans="1:62" s="8" customFormat="1" ht="25.5" customHeight="1">
      <c r="A24" s="79" t="s">
        <v>24</v>
      </c>
      <c r="B24" s="37">
        <v>3.1</v>
      </c>
      <c r="C24" s="36">
        <v>6</v>
      </c>
      <c r="D24" s="36"/>
      <c r="E24" s="279">
        <f t="shared" si="3"/>
        <v>9.1</v>
      </c>
      <c r="F24" s="38">
        <f t="shared" si="4"/>
        <v>9.1</v>
      </c>
      <c r="G24" s="42"/>
      <c r="H24" s="42"/>
      <c r="I24" s="86">
        <f>AH24-G24-H24</f>
        <v>3296.6</v>
      </c>
      <c r="J24" s="87">
        <f t="shared" si="5"/>
        <v>3296.6</v>
      </c>
      <c r="K24" s="24">
        <v>2743.1</v>
      </c>
      <c r="L24" s="7">
        <v>207.9</v>
      </c>
      <c r="M24" s="7">
        <v>21.1</v>
      </c>
      <c r="N24" s="7">
        <v>10.5</v>
      </c>
      <c r="O24" s="7"/>
      <c r="P24" s="7"/>
      <c r="Q24" s="7"/>
      <c r="R24" s="7">
        <v>3</v>
      </c>
      <c r="S24" s="7"/>
      <c r="T24" s="7"/>
      <c r="U24" s="7"/>
      <c r="V24" s="7">
        <v>11</v>
      </c>
      <c r="W24" s="7">
        <v>100</v>
      </c>
      <c r="X24" s="7">
        <v>100</v>
      </c>
      <c r="Y24" s="7"/>
      <c r="Z24" s="7">
        <v>100</v>
      </c>
      <c r="AA24" s="7"/>
      <c r="AB24" s="7"/>
      <c r="AC24" s="89">
        <f>SUM(K24:AB24)</f>
        <v>3296.6</v>
      </c>
      <c r="AD24" s="7"/>
      <c r="AE24" s="7"/>
      <c r="AF24" s="7"/>
      <c r="AG24" s="89">
        <f t="shared" si="13"/>
        <v>0</v>
      </c>
      <c r="AH24" s="89">
        <f>SUM(AC24+AG24)</f>
        <v>3296.6</v>
      </c>
      <c r="AI24" s="86">
        <f>K24-'hoaki dram18'!G26</f>
        <v>0</v>
      </c>
      <c r="AJ24" s="86">
        <f>L24-'hoaki dram18'!H26-B24</f>
        <v>49.49999999999999</v>
      </c>
      <c r="AK24" s="86">
        <f>M24-'hoaki dram18'!I26-C24</f>
        <v>8.100000000000001</v>
      </c>
      <c r="AL24" s="86">
        <f>N24-'hoaki dram18'!J26-D24</f>
        <v>3.5</v>
      </c>
      <c r="AM24" s="86">
        <f>O24-'hoaki dram18'!K26</f>
        <v>0</v>
      </c>
      <c r="AN24" s="86">
        <f>P24-'hoaki dram18'!L26</f>
        <v>0</v>
      </c>
      <c r="AO24" s="86">
        <f>Q24-'hoaki dram18'!M26</f>
        <v>0</v>
      </c>
      <c r="AP24" s="86">
        <f>R24-'hoaki dram18'!N26</f>
        <v>0</v>
      </c>
      <c r="AQ24" s="86">
        <f>S24-'hoaki dram18'!O26</f>
        <v>0</v>
      </c>
      <c r="AR24" s="86">
        <f>T24-'hoaki dram18'!P26</f>
        <v>0</v>
      </c>
      <c r="AS24" s="86">
        <f>U24-'hoaki dram18'!Q26</f>
        <v>0</v>
      </c>
      <c r="AT24" s="86">
        <f>V24-'hoaki dram18'!R26</f>
        <v>0</v>
      </c>
      <c r="AU24" s="86">
        <f>W24-'hoaki dram18'!S26</f>
        <v>0</v>
      </c>
      <c r="AV24" s="86">
        <f>X24-'hoaki dram18'!T26</f>
        <v>100</v>
      </c>
      <c r="AW24" s="86">
        <f>Y24-'hoaki dram18'!U26</f>
        <v>0</v>
      </c>
      <c r="AX24" s="86">
        <f>Z24-'hoaki dram18'!V26</f>
        <v>0</v>
      </c>
      <c r="AY24" s="86">
        <f>AA24-'hoaki dram18'!W26</f>
        <v>0</v>
      </c>
      <c r="AZ24" s="86">
        <f>AB24-'hoaki dram18'!X26</f>
        <v>0</v>
      </c>
      <c r="BA24" s="86">
        <f>AI24+AJ24+AK24+AL24+AM24+AN24+AO24+AP24+AQ24+AR24+AS24+AV24++AX24+AY24+AZ24+AW24+AT24+AU24</f>
        <v>161.1</v>
      </c>
      <c r="BB24" s="86">
        <f>AD24-'hoaki dram18'!Z26</f>
        <v>0</v>
      </c>
      <c r="BC24" s="86">
        <f>AE24-'hoaki dram18'!AA26</f>
        <v>0</v>
      </c>
      <c r="BD24" s="86">
        <f>AF24-'hoaki dram18'!AB26</f>
        <v>0</v>
      </c>
      <c r="BE24" s="86">
        <f t="shared" si="14"/>
        <v>0</v>
      </c>
      <c r="BF24" s="86">
        <f>BA24+BE24</f>
        <v>161.1</v>
      </c>
      <c r="BG24" s="91">
        <f>G24-'hoaki dram18'!C26</f>
        <v>0</v>
      </c>
      <c r="BH24" s="91">
        <f>H24-'hoaki dram18'!D26</f>
        <v>0</v>
      </c>
      <c r="BI24" s="91">
        <f>I24-'hoaki dram18'!E26-F24</f>
        <v>161.09999999999982</v>
      </c>
      <c r="BJ24" s="91">
        <f t="shared" si="9"/>
        <v>161.09999999999982</v>
      </c>
    </row>
    <row r="25" spans="1:62" s="8" customFormat="1" ht="25.5" customHeight="1">
      <c r="A25" s="79" t="s">
        <v>25</v>
      </c>
      <c r="B25" s="37">
        <v>15</v>
      </c>
      <c r="C25" s="36"/>
      <c r="D25" s="36"/>
      <c r="E25" s="279">
        <f t="shared" si="3"/>
        <v>15</v>
      </c>
      <c r="F25" s="38">
        <f t="shared" si="4"/>
        <v>15</v>
      </c>
      <c r="G25" s="42"/>
      <c r="H25" s="42"/>
      <c r="I25" s="86">
        <f>AH25-G25-H25</f>
        <v>5540.4</v>
      </c>
      <c r="J25" s="87">
        <f t="shared" si="5"/>
        <v>5540.4</v>
      </c>
      <c r="K25" s="24">
        <v>5394.5</v>
      </c>
      <c r="L25" s="7">
        <v>45.8</v>
      </c>
      <c r="M25" s="7">
        <v>16.7</v>
      </c>
      <c r="N25" s="7">
        <v>35.4</v>
      </c>
      <c r="O25" s="7"/>
      <c r="P25" s="7"/>
      <c r="Q25" s="7"/>
      <c r="R25" s="7">
        <v>3</v>
      </c>
      <c r="S25" s="7"/>
      <c r="T25" s="7"/>
      <c r="U25" s="7"/>
      <c r="V25" s="7">
        <v>20</v>
      </c>
      <c r="W25" s="7"/>
      <c r="X25" s="7"/>
      <c r="Y25" s="7"/>
      <c r="Z25" s="7">
        <v>25</v>
      </c>
      <c r="AA25" s="7"/>
      <c r="AB25" s="7"/>
      <c r="AC25" s="89">
        <f>SUM(K25:AB25)</f>
        <v>5540.4</v>
      </c>
      <c r="AD25" s="7"/>
      <c r="AE25" s="7"/>
      <c r="AF25" s="7"/>
      <c r="AG25" s="89">
        <f t="shared" si="13"/>
        <v>0</v>
      </c>
      <c r="AH25" s="89">
        <f>SUM(AC25,AG25)</f>
        <v>5540.4</v>
      </c>
      <c r="AI25" s="86">
        <f>K25-'hoaki dram18'!G27</f>
        <v>-179.39999999999964</v>
      </c>
      <c r="AJ25" s="86">
        <f>L25-'hoaki dram18'!H27-B25</f>
        <v>15.599999999999998</v>
      </c>
      <c r="AK25" s="86">
        <f>M25-'hoaki dram18'!I27-C25</f>
        <v>5.6</v>
      </c>
      <c r="AL25" s="86">
        <f>N25-'hoaki dram18'!J27-D25</f>
        <v>11.799999999999997</v>
      </c>
      <c r="AM25" s="86">
        <f>O25-'hoaki dram18'!K27</f>
        <v>0</v>
      </c>
      <c r="AN25" s="86">
        <f>P25-'hoaki dram18'!L27</f>
        <v>0</v>
      </c>
      <c r="AO25" s="86">
        <f>Q25-'hoaki dram18'!M27</f>
        <v>0</v>
      </c>
      <c r="AP25" s="86">
        <f>R25-'hoaki dram18'!N27</f>
        <v>0</v>
      </c>
      <c r="AQ25" s="86">
        <f>S25-'hoaki dram18'!O27</f>
        <v>0</v>
      </c>
      <c r="AR25" s="86">
        <f>T25-'hoaki dram18'!P27</f>
        <v>0</v>
      </c>
      <c r="AS25" s="86">
        <f>U25-'hoaki dram18'!Q27</f>
        <v>0</v>
      </c>
      <c r="AT25" s="86">
        <f>V25-'hoaki dram18'!R27</f>
        <v>0</v>
      </c>
      <c r="AU25" s="86">
        <f>W25-'hoaki dram18'!S27</f>
        <v>0</v>
      </c>
      <c r="AV25" s="86">
        <f>X25-'hoaki dram18'!T27</f>
        <v>0</v>
      </c>
      <c r="AW25" s="86">
        <f>Y25-'hoaki dram18'!U27</f>
        <v>0</v>
      </c>
      <c r="AX25" s="86">
        <f>Z25-'hoaki dram18'!V27</f>
        <v>0</v>
      </c>
      <c r="AY25" s="86">
        <f>AA25-'hoaki dram18'!W27</f>
        <v>0</v>
      </c>
      <c r="AZ25" s="86">
        <f>AB25-'hoaki dram18'!X27</f>
        <v>0</v>
      </c>
      <c r="BA25" s="86">
        <f>AI25+AJ25+AK25+AL25+AM25+AN25+AO25+AP25+AQ25+AR25+AS25+AV25++AX25+AY25+AZ25+AW25+AT25+AU25</f>
        <v>-146.39999999999964</v>
      </c>
      <c r="BB25" s="86">
        <f>AD25-'hoaki dram18'!Z27</f>
        <v>0</v>
      </c>
      <c r="BC25" s="86">
        <f>AE25-'hoaki dram18'!AA27</f>
        <v>0</v>
      </c>
      <c r="BD25" s="86">
        <f>AF25-'hoaki dram18'!AB27</f>
        <v>0</v>
      </c>
      <c r="BE25" s="86">
        <f t="shared" si="14"/>
        <v>0</v>
      </c>
      <c r="BF25" s="86">
        <f>BA25+BE25</f>
        <v>-146.39999999999964</v>
      </c>
      <c r="BG25" s="91">
        <f>G25-'hoaki dram18'!C27</f>
        <v>0</v>
      </c>
      <c r="BH25" s="91">
        <f>H25-'hoaki dram18'!D27</f>
        <v>0</v>
      </c>
      <c r="BI25" s="91">
        <f>I25-'hoaki dram18'!E27-F25</f>
        <v>-146.40000000000055</v>
      </c>
      <c r="BJ25" s="91">
        <f t="shared" si="9"/>
        <v>-146.40000000000055</v>
      </c>
    </row>
    <row r="26" spans="1:62" s="8" customFormat="1" ht="25.5" customHeight="1">
      <c r="A26" s="79" t="s">
        <v>89</v>
      </c>
      <c r="B26" s="37"/>
      <c r="C26" s="36"/>
      <c r="D26" s="36"/>
      <c r="E26" s="279">
        <f t="shared" si="3"/>
        <v>0</v>
      </c>
      <c r="F26" s="38">
        <f t="shared" si="4"/>
        <v>0</v>
      </c>
      <c r="G26" s="42"/>
      <c r="H26" s="42"/>
      <c r="I26" s="86">
        <f>AH26-G26-H26</f>
        <v>317.5</v>
      </c>
      <c r="J26" s="87">
        <f t="shared" si="5"/>
        <v>317.5</v>
      </c>
      <c r="K26" s="24">
        <v>285</v>
      </c>
      <c r="L26" s="7"/>
      <c r="M26" s="7"/>
      <c r="N26" s="7">
        <v>10.5</v>
      </c>
      <c r="O26" s="7"/>
      <c r="P26" s="7"/>
      <c r="Q26" s="7"/>
      <c r="R26" s="7">
        <v>3</v>
      </c>
      <c r="S26" s="7"/>
      <c r="T26" s="7"/>
      <c r="U26" s="7"/>
      <c r="V26" s="7">
        <v>14</v>
      </c>
      <c r="W26" s="7"/>
      <c r="X26" s="7"/>
      <c r="Y26" s="7"/>
      <c r="Z26" s="7">
        <v>5</v>
      </c>
      <c r="AA26" s="7"/>
      <c r="AB26" s="7"/>
      <c r="AC26" s="89">
        <f>SUM(K26:AB26)</f>
        <v>317.5</v>
      </c>
      <c r="AD26" s="7"/>
      <c r="AE26" s="7"/>
      <c r="AF26" s="7"/>
      <c r="AG26" s="89">
        <f>SUM(AD26:AF26)</f>
        <v>0</v>
      </c>
      <c r="AH26" s="89">
        <f>SUM(AC26,AG26)</f>
        <v>317.5</v>
      </c>
      <c r="AI26" s="86">
        <f>K26-'hoaki dram18'!G28</f>
        <v>0</v>
      </c>
      <c r="AJ26" s="86">
        <f>L26-'hoaki dram18'!H28-B26</f>
        <v>0</v>
      </c>
      <c r="AK26" s="86">
        <f>M26-'hoaki dram18'!I28-C26</f>
        <v>0</v>
      </c>
      <c r="AL26" s="86">
        <f>N26-'hoaki dram18'!J28-D26</f>
        <v>3.5</v>
      </c>
      <c r="AM26" s="86">
        <f>O26-'hoaki dram18'!K28</f>
        <v>0</v>
      </c>
      <c r="AN26" s="86">
        <f>P26-'hoaki dram18'!L28</f>
        <v>0</v>
      </c>
      <c r="AO26" s="86">
        <f>Q26-'hoaki dram18'!M28</f>
        <v>0</v>
      </c>
      <c r="AP26" s="86">
        <f>R26-'hoaki dram18'!N28</f>
        <v>0</v>
      </c>
      <c r="AQ26" s="86">
        <f>S26-'hoaki dram18'!O28</f>
        <v>0</v>
      </c>
      <c r="AR26" s="86">
        <f>T26-'hoaki dram18'!P28</f>
        <v>0</v>
      </c>
      <c r="AS26" s="86">
        <f>U26-'hoaki dram18'!Q28</f>
        <v>0</v>
      </c>
      <c r="AT26" s="86">
        <f>V26-'hoaki dram18'!R28</f>
        <v>0</v>
      </c>
      <c r="AU26" s="86">
        <f>W26-'hoaki dram18'!S28</f>
        <v>0</v>
      </c>
      <c r="AV26" s="86">
        <f>X26-'hoaki dram18'!T28</f>
        <v>0</v>
      </c>
      <c r="AW26" s="86">
        <f>Y26-'hoaki dram18'!U28</f>
        <v>0</v>
      </c>
      <c r="AX26" s="86">
        <f>Z26-'hoaki dram18'!V28</f>
        <v>0</v>
      </c>
      <c r="AY26" s="86">
        <f>AA26-'hoaki dram18'!W28</f>
        <v>0</v>
      </c>
      <c r="AZ26" s="86">
        <f>AB26-'hoaki dram18'!X28</f>
        <v>0</v>
      </c>
      <c r="BA26" s="86">
        <f>AI26+AJ26+AK26+AL26+AM26+AN26+AO26+AP26+AQ26+AR26+AS26+AV26++AX26+AY26+AZ26+AW26+AT26+AU26</f>
        <v>3.5</v>
      </c>
      <c r="BB26" s="86">
        <f>AD26-'hoaki dram18'!Z28</f>
        <v>0</v>
      </c>
      <c r="BC26" s="86">
        <f>AE26-'hoaki dram18'!AA28</f>
        <v>0</v>
      </c>
      <c r="BD26" s="86">
        <f>AF26-'hoaki dram18'!AB28</f>
        <v>0</v>
      </c>
      <c r="BE26" s="86">
        <f t="shared" si="14"/>
        <v>0</v>
      </c>
      <c r="BF26" s="86">
        <f>BA26+BE26</f>
        <v>3.5</v>
      </c>
      <c r="BG26" s="91">
        <f>G26-'hoaki dram18'!C28</f>
        <v>0</v>
      </c>
      <c r="BH26" s="91">
        <f>H26-'hoaki dram18'!D28</f>
        <v>0</v>
      </c>
      <c r="BI26" s="91">
        <f>I26-'hoaki dram18'!E28-F26</f>
        <v>3.5</v>
      </c>
      <c r="BJ26" s="91">
        <f t="shared" si="9"/>
        <v>3.5</v>
      </c>
    </row>
    <row r="27" spans="1:62" s="8" customFormat="1" ht="25.5" customHeight="1" thickBot="1">
      <c r="A27" s="79" t="s">
        <v>115</v>
      </c>
      <c r="B27" s="53">
        <v>342.6</v>
      </c>
      <c r="C27" s="54"/>
      <c r="D27" s="54"/>
      <c r="E27" s="279">
        <f t="shared" si="3"/>
        <v>342.6</v>
      </c>
      <c r="F27" s="38">
        <f t="shared" si="4"/>
        <v>342.6</v>
      </c>
      <c r="G27" s="55"/>
      <c r="H27" s="55"/>
      <c r="I27" s="86">
        <f>AH27-G27-H27</f>
        <v>6497.299999999999</v>
      </c>
      <c r="J27" s="87">
        <f t="shared" si="5"/>
        <v>6497.299999999999</v>
      </c>
      <c r="K27" s="56">
        <v>1283.7</v>
      </c>
      <c r="L27" s="57">
        <v>4844</v>
      </c>
      <c r="M27" s="57"/>
      <c r="N27" s="57">
        <v>24.9</v>
      </c>
      <c r="O27" s="57"/>
      <c r="P27" s="57"/>
      <c r="Q27" s="58"/>
      <c r="R27" s="57">
        <v>3</v>
      </c>
      <c r="S27" s="57"/>
      <c r="T27" s="57"/>
      <c r="U27" s="57"/>
      <c r="V27" s="57">
        <v>12</v>
      </c>
      <c r="W27" s="57"/>
      <c r="X27" s="57">
        <v>329.7</v>
      </c>
      <c r="Y27" s="57"/>
      <c r="Z27" s="57"/>
      <c r="AA27" s="57"/>
      <c r="AB27" s="57"/>
      <c r="AC27" s="90">
        <f>SUM(K27:AB27)</f>
        <v>6497.299999999999</v>
      </c>
      <c r="AD27" s="57"/>
      <c r="AE27" s="57"/>
      <c r="AF27" s="57"/>
      <c r="AG27" s="90">
        <f>SUM(AD27:AF27)</f>
        <v>0</v>
      </c>
      <c r="AH27" s="90">
        <f>SUM(AC27,AG27)</f>
        <v>6497.299999999999</v>
      </c>
      <c r="AI27" s="86">
        <f>K27-'hoaki dram18'!G29</f>
        <v>0</v>
      </c>
      <c r="AJ27" s="86">
        <f>L27-'hoaki dram18'!H29-B27</f>
        <v>1458.2000000000003</v>
      </c>
      <c r="AK27" s="92">
        <f>M27-'hoaki dram18'!I29-C27</f>
        <v>0</v>
      </c>
      <c r="AL27" s="92">
        <f>N27-'hoaki dram18'!J29-D27</f>
        <v>8.299999999999997</v>
      </c>
      <c r="AM27" s="92">
        <f>O27-'hoaki dram18'!K29</f>
        <v>0</v>
      </c>
      <c r="AN27" s="92">
        <f>P27-'hoaki dram18'!L29</f>
        <v>0</v>
      </c>
      <c r="AO27" s="92">
        <f>Q27-'hoaki dram18'!M29</f>
        <v>0</v>
      </c>
      <c r="AP27" s="92">
        <f>R27-'hoaki dram18'!N29</f>
        <v>0</v>
      </c>
      <c r="AQ27" s="92">
        <f>S27-'hoaki dram18'!O29</f>
        <v>0</v>
      </c>
      <c r="AR27" s="92">
        <f>T27-'hoaki dram18'!P29</f>
        <v>0</v>
      </c>
      <c r="AS27" s="92">
        <f>U27-'hoaki dram18'!Q29</f>
        <v>0</v>
      </c>
      <c r="AT27" s="92">
        <f>V27-'hoaki dram18'!R29</f>
        <v>0</v>
      </c>
      <c r="AU27" s="92">
        <f>W27-'hoaki dram18'!S29</f>
        <v>0</v>
      </c>
      <c r="AV27" s="92">
        <f>X27-'hoaki dram18'!T29</f>
        <v>0</v>
      </c>
      <c r="AW27" s="92">
        <f>Y27-'hoaki dram18'!U29</f>
        <v>0</v>
      </c>
      <c r="AX27" s="92">
        <f>Z27-'hoaki dram18'!V29</f>
        <v>0</v>
      </c>
      <c r="AY27" s="92">
        <f>AA27-'hoaki dram18'!W29</f>
        <v>0</v>
      </c>
      <c r="AZ27" s="92">
        <f>AB27-'hoaki dram18'!X29</f>
        <v>0</v>
      </c>
      <c r="BA27" s="86">
        <f>AI27+AJ27+AK27+AL27+AM27+AN27+AO27+AP27+AQ27+AR27+AS27+AV27++AX27+AY27+AZ27+AW27+AT27+AU27</f>
        <v>1466.5000000000002</v>
      </c>
      <c r="BB27" s="92">
        <f>AD27-'hoaki dram18'!Z29</f>
        <v>0</v>
      </c>
      <c r="BC27" s="92">
        <f>AE27-'hoaki dram18'!AA29</f>
        <v>0</v>
      </c>
      <c r="BD27" s="92">
        <f>AF27-'hoaki dram18'!AB29</f>
        <v>0</v>
      </c>
      <c r="BE27" s="86">
        <f t="shared" si="14"/>
        <v>0</v>
      </c>
      <c r="BF27" s="92">
        <f>BA27+BE27</f>
        <v>1466.5000000000002</v>
      </c>
      <c r="BG27" s="91">
        <f>G27-'hoaki dram18'!C29</f>
        <v>0</v>
      </c>
      <c r="BH27" s="91">
        <f>H27-'hoaki dram18'!D29</f>
        <v>0</v>
      </c>
      <c r="BI27" s="91">
        <f>I27-'hoaki dram18'!E29-F27</f>
        <v>1466.4999999999995</v>
      </c>
      <c r="BJ27" s="91">
        <f t="shared" si="9"/>
        <v>1466.4999999999995</v>
      </c>
    </row>
    <row r="28" spans="1:62" s="23" customFormat="1" ht="25.5" customHeight="1" thickBot="1">
      <c r="A28" s="59" t="s">
        <v>154</v>
      </c>
      <c r="B28" s="347">
        <f>B16+B22+B23+B24+B25+B26+B27</f>
        <v>1657.6999999999998</v>
      </c>
      <c r="C28" s="347">
        <f aca="true" t="shared" si="16" ref="C28:BJ28">C16+C22+C23+C24+C25+C26+C27</f>
        <v>30.099999999999998</v>
      </c>
      <c r="D28" s="347">
        <f t="shared" si="16"/>
        <v>0.4</v>
      </c>
      <c r="E28" s="347">
        <f t="shared" si="16"/>
        <v>1688.1999999999998</v>
      </c>
      <c r="F28" s="347">
        <f t="shared" si="16"/>
        <v>1688.1999999999998</v>
      </c>
      <c r="G28" s="347">
        <f t="shared" si="16"/>
        <v>0</v>
      </c>
      <c r="H28" s="347">
        <f t="shared" si="16"/>
        <v>662.6</v>
      </c>
      <c r="I28" s="347">
        <f t="shared" si="16"/>
        <v>92999.1</v>
      </c>
      <c r="J28" s="347">
        <f t="shared" si="16"/>
        <v>93661.7</v>
      </c>
      <c r="K28" s="347">
        <f t="shared" si="16"/>
        <v>82284.3</v>
      </c>
      <c r="L28" s="347">
        <f t="shared" si="16"/>
        <v>7660.900000000001</v>
      </c>
      <c r="M28" s="347">
        <f t="shared" si="16"/>
        <v>188</v>
      </c>
      <c r="N28" s="347">
        <f t="shared" si="16"/>
        <v>535.8</v>
      </c>
      <c r="O28" s="347">
        <f t="shared" si="16"/>
        <v>0</v>
      </c>
      <c r="P28" s="347">
        <f t="shared" si="16"/>
        <v>762.5999999999999</v>
      </c>
      <c r="Q28" s="347">
        <f t="shared" si="16"/>
        <v>0</v>
      </c>
      <c r="R28" s="347">
        <f t="shared" si="16"/>
        <v>60</v>
      </c>
      <c r="S28" s="347">
        <f t="shared" si="16"/>
        <v>536</v>
      </c>
      <c r="T28" s="347">
        <f t="shared" si="16"/>
        <v>0</v>
      </c>
      <c r="U28" s="347">
        <f t="shared" si="16"/>
        <v>0</v>
      </c>
      <c r="V28" s="347">
        <f t="shared" si="16"/>
        <v>305.4</v>
      </c>
      <c r="W28" s="347">
        <f t="shared" si="16"/>
        <v>100</v>
      </c>
      <c r="X28" s="347">
        <f t="shared" si="16"/>
        <v>429.7</v>
      </c>
      <c r="Y28" s="347">
        <f t="shared" si="16"/>
        <v>75.49999999999999</v>
      </c>
      <c r="Z28" s="347">
        <f t="shared" si="16"/>
        <v>723.5</v>
      </c>
      <c r="AA28" s="347">
        <f t="shared" si="16"/>
        <v>0</v>
      </c>
      <c r="AB28" s="347">
        <f t="shared" si="16"/>
        <v>0</v>
      </c>
      <c r="AC28" s="347">
        <f t="shared" si="16"/>
        <v>93661.7</v>
      </c>
      <c r="AD28" s="347">
        <f t="shared" si="16"/>
        <v>0</v>
      </c>
      <c r="AE28" s="347">
        <f t="shared" si="16"/>
        <v>0</v>
      </c>
      <c r="AF28" s="347">
        <f t="shared" si="16"/>
        <v>0</v>
      </c>
      <c r="AG28" s="347">
        <f t="shared" si="16"/>
        <v>0</v>
      </c>
      <c r="AH28" s="347">
        <f t="shared" si="16"/>
        <v>93661.7</v>
      </c>
      <c r="AI28" s="347">
        <f t="shared" si="16"/>
        <v>-248.69999999999982</v>
      </c>
      <c r="AJ28" s="347">
        <f t="shared" si="16"/>
        <v>1369.3000000000004</v>
      </c>
      <c r="AK28" s="347">
        <f t="shared" si="16"/>
        <v>50.199999999999996</v>
      </c>
      <c r="AL28" s="347">
        <f t="shared" si="16"/>
        <v>178.60000000000002</v>
      </c>
      <c r="AM28" s="347">
        <f t="shared" si="16"/>
        <v>0</v>
      </c>
      <c r="AN28" s="347">
        <f t="shared" si="16"/>
        <v>0</v>
      </c>
      <c r="AO28" s="347">
        <f t="shared" si="16"/>
        <v>0</v>
      </c>
      <c r="AP28" s="347">
        <f t="shared" si="16"/>
        <v>0</v>
      </c>
      <c r="AQ28" s="347">
        <f t="shared" si="16"/>
        <v>455.4</v>
      </c>
      <c r="AR28" s="347">
        <f t="shared" si="16"/>
        <v>0</v>
      </c>
      <c r="AS28" s="347">
        <f t="shared" si="16"/>
        <v>0</v>
      </c>
      <c r="AT28" s="347">
        <f t="shared" si="16"/>
        <v>0</v>
      </c>
      <c r="AU28" s="347">
        <f t="shared" si="16"/>
        <v>0</v>
      </c>
      <c r="AV28" s="347">
        <f t="shared" si="16"/>
        <v>100</v>
      </c>
      <c r="AW28" s="347">
        <f t="shared" si="16"/>
        <v>0</v>
      </c>
      <c r="AX28" s="347">
        <f t="shared" si="16"/>
        <v>0</v>
      </c>
      <c r="AY28" s="347">
        <f t="shared" si="16"/>
        <v>0</v>
      </c>
      <c r="AZ28" s="347">
        <f t="shared" si="16"/>
        <v>0</v>
      </c>
      <c r="BA28" s="347">
        <f t="shared" si="16"/>
        <v>1904.8000000000006</v>
      </c>
      <c r="BB28" s="347">
        <f t="shared" si="16"/>
        <v>0</v>
      </c>
      <c r="BC28" s="347">
        <f t="shared" si="16"/>
        <v>0</v>
      </c>
      <c r="BD28" s="347">
        <f t="shared" si="16"/>
        <v>0</v>
      </c>
      <c r="BE28" s="347">
        <f t="shared" si="16"/>
        <v>0</v>
      </c>
      <c r="BF28" s="347">
        <f t="shared" si="16"/>
        <v>1904.8000000000006</v>
      </c>
      <c r="BG28" s="347">
        <f t="shared" si="16"/>
        <v>0</v>
      </c>
      <c r="BH28" s="347">
        <f t="shared" si="16"/>
        <v>0</v>
      </c>
      <c r="BI28" s="347">
        <f t="shared" si="16"/>
        <v>1904.799999999998</v>
      </c>
      <c r="BJ28" s="348">
        <f t="shared" si="16"/>
        <v>1904.799999999998</v>
      </c>
    </row>
    <row r="29" spans="44:60" s="22" customFormat="1" ht="12.75"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44:60" s="22" customFormat="1" ht="12.75"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</row>
    <row r="31" spans="44:60" s="22" customFormat="1" ht="12.75"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44:60" s="22" customFormat="1" ht="12.75"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</row>
    <row r="33" spans="44:60" s="22" customFormat="1" ht="12.75"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</row>
    <row r="34" spans="44:60" s="22" customFormat="1" ht="12.75"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44:60" s="22" customFormat="1" ht="12.75"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</row>
    <row r="36" spans="44:60" s="22" customFormat="1" ht="12.75"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</row>
    <row r="37" spans="44:60" s="22" customFormat="1" ht="12.75"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</row>
    <row r="38" spans="44:60" s="22" customFormat="1" ht="12.75"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</row>
    <row r="39" spans="44:60" s="22" customFormat="1" ht="12.75"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</row>
    <row r="40" spans="44:60" s="22" customFormat="1" ht="12.75"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</row>
    <row r="41" spans="44:60" s="22" customFormat="1" ht="12.75"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</row>
    <row r="42" spans="44:60" s="22" customFormat="1" ht="12.75"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</row>
    <row r="43" spans="44:60" s="22" customFormat="1" ht="12.75"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</row>
    <row r="44" spans="44:60" s="22" customFormat="1" ht="12.75"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</row>
    <row r="45" spans="44:60" s="22" customFormat="1" ht="12.75"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</row>
    <row r="46" spans="44:60" s="22" customFormat="1" ht="12.75"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</row>
    <row r="47" spans="44:60" s="22" customFormat="1" ht="12.75"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</row>
    <row r="48" spans="44:60" s="22" customFormat="1" ht="12.75"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44:60" s="22" customFormat="1" ht="12.75"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44:60" s="22" customFormat="1" ht="12.75"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</row>
    <row r="51" spans="44:60" s="22" customFormat="1" ht="12.75"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</row>
  </sheetData>
  <sheetProtection/>
  <mergeCells count="6">
    <mergeCell ref="AI2:BJ2"/>
    <mergeCell ref="A1:Q1"/>
    <mergeCell ref="B2:F2"/>
    <mergeCell ref="A2:A3"/>
    <mergeCell ref="G2:J2"/>
    <mergeCell ref="K2:AH2"/>
  </mergeCells>
  <printOptions/>
  <pageMargins left="0.15" right="0.15" top="0.14" bottom="0.13" header="0.14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9">
      <selection activeCell="L35" sqref="L35"/>
    </sheetView>
  </sheetViews>
  <sheetFormatPr defaultColWidth="9.140625" defaultRowHeight="12.75"/>
  <cols>
    <col min="1" max="2" width="9.140625" style="1" customWidth="1"/>
    <col min="3" max="3" width="14.8515625" style="1" customWidth="1"/>
    <col min="4" max="4" width="0" style="1" hidden="1" customWidth="1"/>
    <col min="5" max="5" width="8.8515625" style="1" customWidth="1"/>
    <col min="6" max="6" width="7.7109375" style="1" hidden="1" customWidth="1"/>
    <col min="7" max="7" width="10.7109375" style="1" hidden="1" customWidth="1"/>
    <col min="8" max="8" width="10.28125" style="1" hidden="1" customWidth="1"/>
    <col min="9" max="9" width="10.28125" style="1" customWidth="1"/>
    <col min="10" max="10" width="14.57421875" style="14" customWidth="1"/>
    <col min="11" max="11" width="11.7109375" style="1" customWidth="1"/>
    <col min="12" max="12" width="12.140625" style="1" customWidth="1"/>
    <col min="13" max="13" width="10.8515625" style="1" customWidth="1"/>
    <col min="14" max="16384" width="9.140625" style="1" customWidth="1"/>
  </cols>
  <sheetData>
    <row r="1" spans="1:12" ht="15.75" customHeight="1">
      <c r="A1" s="611" t="s">
        <v>26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2" spans="4:6" ht="12.75">
      <c r="D2" s="94"/>
      <c r="E2" s="94"/>
      <c r="F2" s="94"/>
    </row>
    <row r="3" spans="1:12" ht="30" customHeight="1" thickBot="1">
      <c r="A3" s="612" t="s">
        <v>195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3" ht="15" customHeight="1" thickBot="1">
      <c r="A4" s="613" t="s">
        <v>27</v>
      </c>
      <c r="B4" s="614"/>
      <c r="C4" s="615"/>
      <c r="D4" s="619" t="s">
        <v>28</v>
      </c>
      <c r="E4" s="609" t="s">
        <v>182</v>
      </c>
      <c r="F4" s="621" t="s">
        <v>96</v>
      </c>
      <c r="G4" s="623" t="s">
        <v>29</v>
      </c>
      <c r="H4" s="603" t="s">
        <v>52</v>
      </c>
      <c r="I4" s="603" t="s">
        <v>194</v>
      </c>
      <c r="J4" s="589" t="s">
        <v>212</v>
      </c>
      <c r="K4" s="590"/>
      <c r="L4" s="607" t="s">
        <v>207</v>
      </c>
      <c r="M4" s="605" t="s">
        <v>181</v>
      </c>
    </row>
    <row r="5" spans="1:13" ht="55.5" customHeight="1" thickBot="1">
      <c r="A5" s="616"/>
      <c r="B5" s="617"/>
      <c r="C5" s="618"/>
      <c r="D5" s="620"/>
      <c r="E5" s="610"/>
      <c r="F5" s="622"/>
      <c r="G5" s="624"/>
      <c r="H5" s="604"/>
      <c r="I5" s="604"/>
      <c r="J5" s="95" t="s">
        <v>190</v>
      </c>
      <c r="K5" s="96" t="s">
        <v>100</v>
      </c>
      <c r="L5" s="608"/>
      <c r="M5" s="606"/>
    </row>
    <row r="6" spans="1:13" ht="32.25" customHeight="1" thickBot="1">
      <c r="A6" s="591" t="s">
        <v>21</v>
      </c>
      <c r="B6" s="592"/>
      <c r="C6" s="593"/>
      <c r="D6" s="97"/>
      <c r="E6" s="233"/>
      <c r="F6" s="234"/>
      <c r="G6" s="226"/>
      <c r="H6" s="226"/>
      <c r="I6" s="235">
        <f>(I7+I8)</f>
        <v>1688.1999999999998</v>
      </c>
      <c r="J6" s="236">
        <f>SUM(J7:J8)</f>
        <v>90068.70000000001</v>
      </c>
      <c r="K6" s="236">
        <f>SUM(K7:K8)</f>
        <v>93661.70000000001</v>
      </c>
      <c r="L6" s="237">
        <f>SUM(L7:L8)</f>
        <v>1904.8000000000002</v>
      </c>
      <c r="M6" s="241"/>
    </row>
    <row r="7" spans="1:13" ht="23.25" customHeight="1" thickBot="1">
      <c r="A7" s="574" t="s">
        <v>87</v>
      </c>
      <c r="B7" s="575"/>
      <c r="C7" s="576"/>
      <c r="D7" s="98"/>
      <c r="E7" s="99"/>
      <c r="F7" s="100"/>
      <c r="G7" s="101"/>
      <c r="H7" s="101"/>
      <c r="I7" s="102">
        <v>0</v>
      </c>
      <c r="J7" s="101">
        <f>'hoaki dram18'!D30</f>
        <v>662.6</v>
      </c>
      <c r="K7" s="101">
        <f>'hoaki past18'!H28</f>
        <v>662.6</v>
      </c>
      <c r="L7" s="228">
        <f>SUM(K7-J7)</f>
        <v>0</v>
      </c>
      <c r="M7" s="232"/>
    </row>
    <row r="8" spans="1:13" ht="23.25" customHeight="1" thickBot="1">
      <c r="A8" s="574" t="s">
        <v>88</v>
      </c>
      <c r="B8" s="575"/>
      <c r="C8" s="576"/>
      <c r="D8" s="98"/>
      <c r="E8" s="99"/>
      <c r="F8" s="100"/>
      <c r="G8" s="101"/>
      <c r="H8" s="101"/>
      <c r="I8" s="102">
        <f>'hoaki past18'!F28</f>
        <v>1688.1999999999998</v>
      </c>
      <c r="J8" s="101">
        <f>'hoaki dram18'!E30</f>
        <v>89406.1</v>
      </c>
      <c r="K8" s="103">
        <f>'hoaki past18'!I28</f>
        <v>92999.1</v>
      </c>
      <c r="L8" s="228">
        <f>SUM(K8-J8-I8)</f>
        <v>1904.8000000000002</v>
      </c>
      <c r="M8" s="242"/>
    </row>
    <row r="9" spans="1:13" ht="18.75" thickBot="1">
      <c r="A9" s="594" t="s">
        <v>21</v>
      </c>
      <c r="B9" s="595"/>
      <c r="C9" s="596"/>
      <c r="D9" s="104"/>
      <c r="E9" s="105"/>
      <c r="F9" s="106" t="s">
        <v>97</v>
      </c>
      <c r="G9" s="107" t="e">
        <f>SUM(G10,G29,-#REF!)</f>
        <v>#REF!</v>
      </c>
      <c r="H9" s="107" t="e">
        <f>SUM(H10,H29,-#REF!)</f>
        <v>#REF!</v>
      </c>
      <c r="I9" s="108">
        <f>(I10+I29)</f>
        <v>1688.1999999999998</v>
      </c>
      <c r="J9" s="107">
        <f>SUM(J10+J29)</f>
        <v>90068.7</v>
      </c>
      <c r="K9" s="109">
        <f>SUM(K10+K29+K33)</f>
        <v>93661.7</v>
      </c>
      <c r="L9" s="108">
        <f>(L10+L29)</f>
        <v>1904.8000000000038</v>
      </c>
      <c r="M9" s="243"/>
    </row>
    <row r="10" spans="1:13" ht="19.5" customHeight="1" thickBot="1">
      <c r="A10" s="597" t="s">
        <v>30</v>
      </c>
      <c r="B10" s="598"/>
      <c r="C10" s="599"/>
      <c r="D10" s="104"/>
      <c r="E10" s="105"/>
      <c r="F10" s="110"/>
      <c r="G10" s="111">
        <f>SUM(G11:G28)</f>
        <v>428673.99999999994</v>
      </c>
      <c r="H10" s="111">
        <f>SUM(H11:H28)</f>
        <v>428673.99999999994</v>
      </c>
      <c r="I10" s="111">
        <f>I11+I12+I13+I14+I15+I16+I17+I18+I19+I20+I21+I22+I23+I24+I25+I26+I27+I28</f>
        <v>1688.1999999999998</v>
      </c>
      <c r="J10" s="111">
        <f>J11+J12+J13+J14+J15+J16+J17+J18+J19+J20+J21+J22+J23+J24+J25+J26+J27+J28</f>
        <v>90068.7</v>
      </c>
      <c r="K10" s="111">
        <f>K11+K12+K13+K14+K15+K16+K17+K18+K19+K20+K21+K22+K23+K24+K25+K26+K27+K28</f>
        <v>93661.7</v>
      </c>
      <c r="L10" s="111">
        <f>L11+L12+L13+L14+L15+L16+L17+L18+L19+L20+L21+L22+L23+L24+L25+L26+L27+L28</f>
        <v>1904.8000000000038</v>
      </c>
      <c r="M10" s="243"/>
    </row>
    <row r="11" spans="1:13" ht="18.75" customHeight="1">
      <c r="A11" s="600" t="s">
        <v>31</v>
      </c>
      <c r="B11" s="601"/>
      <c r="C11" s="602"/>
      <c r="D11" s="10" t="s">
        <v>17</v>
      </c>
      <c r="E11" s="112" t="s">
        <v>3</v>
      </c>
      <c r="F11" s="113"/>
      <c r="G11" s="114">
        <v>276414.3</v>
      </c>
      <c r="H11" s="115">
        <v>276414.3</v>
      </c>
      <c r="I11" s="115">
        <v>0</v>
      </c>
      <c r="J11" s="114">
        <f>'hoaki dram18'!G30</f>
        <v>82533</v>
      </c>
      <c r="K11" s="115">
        <f>'hoaki past18'!K28</f>
        <v>82284.3</v>
      </c>
      <c r="L11" s="229">
        <f>SUM(K11-J11-I11)</f>
        <v>-248.6999999999971</v>
      </c>
      <c r="M11" s="238" t="s">
        <v>16</v>
      </c>
    </row>
    <row r="12" spans="1:13" ht="18.75" customHeight="1">
      <c r="A12" s="586" t="s">
        <v>64</v>
      </c>
      <c r="B12" s="587"/>
      <c r="C12" s="588"/>
      <c r="D12" s="116" t="s">
        <v>39</v>
      </c>
      <c r="E12" s="117" t="s">
        <v>4</v>
      </c>
      <c r="F12" s="118" t="s">
        <v>93</v>
      </c>
      <c r="G12" s="119">
        <v>35634.2</v>
      </c>
      <c r="H12" s="120">
        <v>35634.2</v>
      </c>
      <c r="I12" s="120">
        <f>'hoaki past18'!B28</f>
        <v>1657.6999999999998</v>
      </c>
      <c r="J12" s="119">
        <f>'hoaki dram18'!H30</f>
        <v>4633.9</v>
      </c>
      <c r="K12" s="120">
        <f>'hoaki past18'!L28</f>
        <v>7660.900000000001</v>
      </c>
      <c r="L12" s="229">
        <f aca="true" t="shared" si="0" ref="L12:L28">SUM(K12-J12-I12)</f>
        <v>1369.300000000001</v>
      </c>
      <c r="M12" s="232"/>
    </row>
    <row r="13" spans="1:13" ht="18.75" customHeight="1">
      <c r="A13" s="586" t="s">
        <v>65</v>
      </c>
      <c r="B13" s="587"/>
      <c r="C13" s="588"/>
      <c r="D13" s="116"/>
      <c r="E13" s="117" t="s">
        <v>5</v>
      </c>
      <c r="F13" s="118" t="s">
        <v>94</v>
      </c>
      <c r="G13" s="119">
        <v>12642.7</v>
      </c>
      <c r="H13" s="120">
        <v>12642.7</v>
      </c>
      <c r="I13" s="120">
        <f>'hoaki past18'!C28</f>
        <v>30.099999999999998</v>
      </c>
      <c r="J13" s="119">
        <f>'hoaki dram18'!I30</f>
        <v>107.69999999999999</v>
      </c>
      <c r="K13" s="120">
        <f>'hoaki past18'!M28</f>
        <v>188</v>
      </c>
      <c r="L13" s="229">
        <f t="shared" si="0"/>
        <v>50.20000000000002</v>
      </c>
      <c r="M13" s="232"/>
    </row>
    <row r="14" spans="1:13" ht="18.75" customHeight="1">
      <c r="A14" s="577" t="s">
        <v>37</v>
      </c>
      <c r="B14" s="578"/>
      <c r="C14" s="579"/>
      <c r="D14" s="116" t="s">
        <v>38</v>
      </c>
      <c r="E14" s="117" t="s">
        <v>6</v>
      </c>
      <c r="F14" s="118" t="s">
        <v>95</v>
      </c>
      <c r="G14" s="119">
        <v>5710</v>
      </c>
      <c r="H14" s="120">
        <v>5710</v>
      </c>
      <c r="I14" s="120">
        <f>'hoaki past18'!D28</f>
        <v>0.4</v>
      </c>
      <c r="J14" s="119">
        <f>'hoaki dram18'!J30</f>
        <v>356.80000000000007</v>
      </c>
      <c r="K14" s="120">
        <f>'hoaki past18'!N28</f>
        <v>535.8</v>
      </c>
      <c r="L14" s="229">
        <f t="shared" si="0"/>
        <v>178.59999999999988</v>
      </c>
      <c r="M14" s="232"/>
    </row>
    <row r="15" spans="1:13" ht="18.75" customHeight="1">
      <c r="A15" s="564" t="s">
        <v>80</v>
      </c>
      <c r="B15" s="565"/>
      <c r="C15" s="566"/>
      <c r="D15" s="116"/>
      <c r="E15" s="117" t="s">
        <v>81</v>
      </c>
      <c r="F15" s="118"/>
      <c r="G15" s="119"/>
      <c r="H15" s="120"/>
      <c r="I15" s="120"/>
      <c r="J15" s="119">
        <f>'hoaki dram18'!K30</f>
        <v>0</v>
      </c>
      <c r="K15" s="120">
        <f>'hoaki past18'!O28</f>
        <v>0</v>
      </c>
      <c r="L15" s="229">
        <f t="shared" si="0"/>
        <v>0</v>
      </c>
      <c r="M15" s="232"/>
    </row>
    <row r="16" spans="1:13" ht="18.75" customHeight="1">
      <c r="A16" s="577" t="s">
        <v>34</v>
      </c>
      <c r="B16" s="578"/>
      <c r="C16" s="579"/>
      <c r="D16" s="116" t="s">
        <v>35</v>
      </c>
      <c r="E16" s="117" t="s">
        <v>7</v>
      </c>
      <c r="F16" s="118"/>
      <c r="G16" s="119">
        <v>4416.1</v>
      </c>
      <c r="H16" s="120">
        <v>4416.1</v>
      </c>
      <c r="I16" s="120"/>
      <c r="J16" s="119">
        <f>'hoaki dram18'!L30</f>
        <v>762.5999999999999</v>
      </c>
      <c r="K16" s="120">
        <f>'hoaki past18'!P28</f>
        <v>762.5999999999999</v>
      </c>
      <c r="L16" s="229">
        <f t="shared" si="0"/>
        <v>0</v>
      </c>
      <c r="M16" s="232"/>
    </row>
    <row r="17" spans="1:13" ht="18.75" customHeight="1">
      <c r="A17" s="564" t="s">
        <v>67</v>
      </c>
      <c r="B17" s="565"/>
      <c r="C17" s="566"/>
      <c r="D17" s="116"/>
      <c r="E17" s="117" t="s">
        <v>9</v>
      </c>
      <c r="F17" s="118"/>
      <c r="G17" s="119">
        <v>2811.1</v>
      </c>
      <c r="H17" s="120">
        <v>2811.1</v>
      </c>
      <c r="I17" s="120"/>
      <c r="J17" s="119">
        <f>'hoaki dram18'!M30</f>
        <v>0</v>
      </c>
      <c r="K17" s="120">
        <f>'hoaki past18'!Q28</f>
        <v>0</v>
      </c>
      <c r="L17" s="229">
        <f t="shared" si="0"/>
        <v>0</v>
      </c>
      <c r="M17" s="232"/>
    </row>
    <row r="18" spans="1:13" ht="18.75" customHeight="1">
      <c r="A18" s="577" t="s">
        <v>167</v>
      </c>
      <c r="B18" s="578"/>
      <c r="C18" s="579"/>
      <c r="D18" s="116" t="s">
        <v>44</v>
      </c>
      <c r="E18" s="117" t="s">
        <v>11</v>
      </c>
      <c r="F18" s="118"/>
      <c r="G18" s="119">
        <v>10384.7</v>
      </c>
      <c r="H18" s="120">
        <v>10384.7</v>
      </c>
      <c r="I18" s="120"/>
      <c r="J18" s="119">
        <f>'hoaki dram18'!N30</f>
        <v>60</v>
      </c>
      <c r="K18" s="120">
        <f>'hoaki past18'!R28</f>
        <v>60</v>
      </c>
      <c r="L18" s="229">
        <f t="shared" si="0"/>
        <v>0</v>
      </c>
      <c r="M18" s="232"/>
    </row>
    <row r="19" spans="1:13" ht="18.75" customHeight="1">
      <c r="A19" s="564" t="s">
        <v>68</v>
      </c>
      <c r="B19" s="565"/>
      <c r="C19" s="566"/>
      <c r="D19" s="116"/>
      <c r="E19" s="117" t="s">
        <v>12</v>
      </c>
      <c r="F19" s="118"/>
      <c r="G19" s="119">
        <v>5663.8</v>
      </c>
      <c r="H19" s="120">
        <v>5663.8</v>
      </c>
      <c r="I19" s="120"/>
      <c r="J19" s="119">
        <f>'hoaki dram18'!O30</f>
        <v>80.6</v>
      </c>
      <c r="K19" s="120">
        <f>'hoaki past18'!S28</f>
        <v>536</v>
      </c>
      <c r="L19" s="229">
        <f t="shared" si="0"/>
        <v>455.4</v>
      </c>
      <c r="M19" s="232"/>
    </row>
    <row r="20" spans="1:13" ht="18.75" customHeight="1">
      <c r="A20" s="564" t="s">
        <v>69</v>
      </c>
      <c r="B20" s="565"/>
      <c r="C20" s="566"/>
      <c r="D20" s="116"/>
      <c r="E20" s="117" t="s">
        <v>13</v>
      </c>
      <c r="F20" s="118"/>
      <c r="G20" s="119">
        <v>1633.3</v>
      </c>
      <c r="H20" s="120">
        <v>1633.3</v>
      </c>
      <c r="I20" s="120"/>
      <c r="J20" s="119">
        <f>'hoaki dram18'!P30</f>
        <v>0</v>
      </c>
      <c r="K20" s="119">
        <f>'hoaki past18'!T28</f>
        <v>0</v>
      </c>
      <c r="L20" s="229">
        <f t="shared" si="0"/>
        <v>0</v>
      </c>
      <c r="M20" s="232"/>
    </row>
    <row r="21" spans="1:13" ht="18.75" customHeight="1">
      <c r="A21" s="564" t="s">
        <v>70</v>
      </c>
      <c r="B21" s="565"/>
      <c r="C21" s="566"/>
      <c r="D21" s="116"/>
      <c r="E21" s="117" t="s">
        <v>14</v>
      </c>
      <c r="F21" s="118"/>
      <c r="G21" s="119">
        <v>250</v>
      </c>
      <c r="H21" s="120">
        <v>250</v>
      </c>
      <c r="I21" s="120"/>
      <c r="J21" s="119">
        <f>'hoaki dram18'!Q30</f>
        <v>0</v>
      </c>
      <c r="K21" s="120">
        <f>'hoaki past18'!U28</f>
        <v>0</v>
      </c>
      <c r="L21" s="229">
        <f t="shared" si="0"/>
        <v>0</v>
      </c>
      <c r="M21" s="232"/>
    </row>
    <row r="22" spans="1:13" ht="18.75" customHeight="1">
      <c r="A22" s="571" t="s">
        <v>32</v>
      </c>
      <c r="B22" s="572"/>
      <c r="C22" s="573"/>
      <c r="D22" s="116" t="s">
        <v>33</v>
      </c>
      <c r="E22" s="117" t="s">
        <v>15</v>
      </c>
      <c r="F22" s="118"/>
      <c r="G22" s="119">
        <v>3950.3</v>
      </c>
      <c r="H22" s="120">
        <v>3950.3</v>
      </c>
      <c r="I22" s="120"/>
      <c r="J22" s="119">
        <f>'hoaki dram18'!R30</f>
        <v>305.4</v>
      </c>
      <c r="K22" s="120">
        <f>'hoaki past18'!V28</f>
        <v>305.4</v>
      </c>
      <c r="L22" s="229">
        <f t="shared" si="0"/>
        <v>0</v>
      </c>
      <c r="M22" s="232"/>
    </row>
    <row r="23" spans="1:13" ht="18.75" customHeight="1">
      <c r="A23" s="583" t="s">
        <v>165</v>
      </c>
      <c r="B23" s="584"/>
      <c r="C23" s="585"/>
      <c r="D23" s="116"/>
      <c r="E23" s="117" t="s">
        <v>82</v>
      </c>
      <c r="F23" s="118"/>
      <c r="G23" s="119"/>
      <c r="H23" s="120"/>
      <c r="I23" s="120"/>
      <c r="J23" s="119">
        <f>'hoaki dram18'!S30</f>
        <v>100</v>
      </c>
      <c r="K23" s="120">
        <f>'hoaki past18'!W28</f>
        <v>100</v>
      </c>
      <c r="L23" s="229">
        <f t="shared" si="0"/>
        <v>0</v>
      </c>
      <c r="M23" s="232"/>
    </row>
    <row r="24" spans="1:13" ht="18.75" customHeight="1">
      <c r="A24" s="577" t="s">
        <v>71</v>
      </c>
      <c r="B24" s="578"/>
      <c r="C24" s="579"/>
      <c r="D24" s="116" t="s">
        <v>36</v>
      </c>
      <c r="E24" s="117" t="s">
        <v>54</v>
      </c>
      <c r="F24" s="118"/>
      <c r="G24" s="119">
        <v>24681.2</v>
      </c>
      <c r="H24" s="120">
        <v>24681.2</v>
      </c>
      <c r="I24" s="120"/>
      <c r="J24" s="119">
        <f>'hoaki dram18'!T30</f>
        <v>329.7</v>
      </c>
      <c r="K24" s="120">
        <f>'hoaki past18'!X28</f>
        <v>429.7</v>
      </c>
      <c r="L24" s="229">
        <f t="shared" si="0"/>
        <v>100</v>
      </c>
      <c r="M24" s="232"/>
    </row>
    <row r="25" spans="1:13" ht="18.75" customHeight="1">
      <c r="A25" s="564" t="s">
        <v>79</v>
      </c>
      <c r="B25" s="565"/>
      <c r="C25" s="566"/>
      <c r="D25" s="116"/>
      <c r="E25" s="117" t="s">
        <v>101</v>
      </c>
      <c r="F25" s="118"/>
      <c r="G25" s="119"/>
      <c r="H25" s="120"/>
      <c r="I25" s="120"/>
      <c r="J25" s="119">
        <f>'hoaki dram18'!U30</f>
        <v>75.49999999999999</v>
      </c>
      <c r="K25" s="120">
        <f>'hoaki past18'!Y28</f>
        <v>75.49999999999999</v>
      </c>
      <c r="L25" s="229">
        <f t="shared" si="0"/>
        <v>0</v>
      </c>
      <c r="M25" s="232"/>
    </row>
    <row r="26" spans="1:13" ht="18.75" customHeight="1">
      <c r="A26" s="564" t="s">
        <v>72</v>
      </c>
      <c r="B26" s="565"/>
      <c r="C26" s="566"/>
      <c r="D26" s="116"/>
      <c r="E26" s="117" t="s">
        <v>55</v>
      </c>
      <c r="F26" s="118"/>
      <c r="G26" s="119">
        <v>43982.3</v>
      </c>
      <c r="H26" s="120">
        <v>43982.3</v>
      </c>
      <c r="I26" s="120"/>
      <c r="J26" s="119">
        <f>'hoaki dram18'!V30</f>
        <v>723.5</v>
      </c>
      <c r="K26" s="120">
        <f>'hoaki past18'!Z28</f>
        <v>723.5</v>
      </c>
      <c r="L26" s="229">
        <f t="shared" si="0"/>
        <v>0</v>
      </c>
      <c r="M26" s="232"/>
    </row>
    <row r="27" spans="1:13" ht="18.75" customHeight="1">
      <c r="A27" s="564" t="s">
        <v>78</v>
      </c>
      <c r="B27" s="565"/>
      <c r="C27" s="566"/>
      <c r="D27" s="116"/>
      <c r="E27" s="117" t="s">
        <v>2</v>
      </c>
      <c r="F27" s="118"/>
      <c r="G27" s="119"/>
      <c r="H27" s="120"/>
      <c r="I27" s="120"/>
      <c r="J27" s="119">
        <f>'hoaki dram18'!W30</f>
        <v>0</v>
      </c>
      <c r="K27" s="120">
        <f>'hoaki past18'!AA28</f>
        <v>0</v>
      </c>
      <c r="L27" s="229">
        <f t="shared" si="0"/>
        <v>0</v>
      </c>
      <c r="M27" s="232"/>
    </row>
    <row r="28" spans="1:13" ht="18.75" customHeight="1" thickBot="1">
      <c r="A28" s="577" t="s">
        <v>40</v>
      </c>
      <c r="B28" s="578"/>
      <c r="C28" s="579"/>
      <c r="D28" s="116" t="s">
        <v>41</v>
      </c>
      <c r="E28" s="117" t="s">
        <v>63</v>
      </c>
      <c r="F28" s="118"/>
      <c r="G28" s="119">
        <v>500</v>
      </c>
      <c r="H28" s="120">
        <v>500</v>
      </c>
      <c r="I28" s="120"/>
      <c r="J28" s="119">
        <f>'hoaki dram18'!X30</f>
        <v>0</v>
      </c>
      <c r="K28" s="120">
        <f>'hoaki past18'!AB28</f>
        <v>0</v>
      </c>
      <c r="L28" s="229">
        <f t="shared" si="0"/>
        <v>0</v>
      </c>
      <c r="M28" s="244"/>
    </row>
    <row r="29" spans="1:13" ht="18.75" customHeight="1" thickBot="1">
      <c r="A29" s="580" t="s">
        <v>47</v>
      </c>
      <c r="B29" s="581"/>
      <c r="C29" s="582"/>
      <c r="D29" s="104" t="s">
        <v>16</v>
      </c>
      <c r="E29" s="105"/>
      <c r="F29" s="110"/>
      <c r="G29" s="111">
        <f>SUM(G30:G32)</f>
        <v>87696.4</v>
      </c>
      <c r="H29" s="111">
        <f>SUM(H30:H32)</f>
        <v>87696.4</v>
      </c>
      <c r="I29" s="111">
        <f>I30+I31+I32</f>
        <v>0</v>
      </c>
      <c r="J29" s="111">
        <f>J30+J31+J32</f>
        <v>0</v>
      </c>
      <c r="K29" s="111">
        <f>K30+K31+K32</f>
        <v>0</v>
      </c>
      <c r="L29" s="121">
        <f>L30+L31+L32</f>
        <v>0</v>
      </c>
      <c r="M29" s="243"/>
    </row>
    <row r="30" spans="1:13" ht="27" customHeight="1">
      <c r="A30" s="561" t="s">
        <v>178</v>
      </c>
      <c r="B30" s="562"/>
      <c r="C30" s="563"/>
      <c r="D30" s="205"/>
      <c r="E30" s="135" t="s">
        <v>59</v>
      </c>
      <c r="F30" s="206"/>
      <c r="G30" s="123">
        <v>82596.4</v>
      </c>
      <c r="H30" s="122">
        <v>82596.4</v>
      </c>
      <c r="I30" s="122"/>
      <c r="J30" s="123">
        <f>'hoaki dram18'!Z30</f>
        <v>0</v>
      </c>
      <c r="K30" s="124">
        <f>'hoaki past18'!AD28</f>
        <v>0</v>
      </c>
      <c r="L30" s="230">
        <f>(K30-J30-I30)</f>
        <v>0</v>
      </c>
      <c r="M30" s="245"/>
    </row>
    <row r="31" spans="1:13" ht="18.75" customHeight="1">
      <c r="A31" s="564" t="s">
        <v>92</v>
      </c>
      <c r="B31" s="565"/>
      <c r="C31" s="566"/>
      <c r="D31" s="11" t="s">
        <v>50</v>
      </c>
      <c r="E31" s="117" t="s">
        <v>53</v>
      </c>
      <c r="F31" s="118"/>
      <c r="G31" s="119">
        <v>5100</v>
      </c>
      <c r="H31" s="120">
        <v>5100</v>
      </c>
      <c r="I31" s="120"/>
      <c r="J31" s="119">
        <f>'hoaki dram18'!AA30</f>
        <v>0</v>
      </c>
      <c r="K31" s="125">
        <f>'hoaki past18'!AE28</f>
        <v>0</v>
      </c>
      <c r="L31" s="231">
        <f>-(K31-J31-I31)</f>
        <v>0</v>
      </c>
      <c r="M31" s="232"/>
    </row>
    <row r="32" spans="1:13" ht="18.75" customHeight="1" thickBot="1">
      <c r="A32" s="569" t="s">
        <v>73</v>
      </c>
      <c r="B32" s="570"/>
      <c r="C32" s="570"/>
      <c r="D32" s="570"/>
      <c r="E32" s="207" t="s">
        <v>61</v>
      </c>
      <c r="F32" s="208"/>
      <c r="G32" s="209"/>
      <c r="H32" s="209"/>
      <c r="I32" s="126"/>
      <c r="J32" s="127">
        <f>'hoaki dram18'!AB30</f>
        <v>0</v>
      </c>
      <c r="K32" s="127">
        <f>'hoaki past18'!AF28</f>
        <v>0</v>
      </c>
      <c r="L32" s="229">
        <f>-(K32-J32-I32)</f>
        <v>0</v>
      </c>
      <c r="M32" s="244"/>
    </row>
    <row r="33" spans="1:13" s="133" customFormat="1" ht="18.75" customHeight="1" thickBot="1">
      <c r="A33" s="567" t="s">
        <v>166</v>
      </c>
      <c r="B33" s="568"/>
      <c r="C33" s="568"/>
      <c r="D33" s="128"/>
      <c r="E33" s="129"/>
      <c r="F33" s="130"/>
      <c r="G33" s="131"/>
      <c r="H33" s="131"/>
      <c r="I33" s="132">
        <f>'hoaki dram18'!B30</f>
        <v>0</v>
      </c>
      <c r="J33" s="132">
        <f>'hoaki dram18'!C30</f>
        <v>0</v>
      </c>
      <c r="K33" s="132">
        <f>'hoaki dram18'!AE30</f>
        <v>0</v>
      </c>
      <c r="L33" s="121">
        <f>I33+J6-J9</f>
        <v>0</v>
      </c>
      <c r="M33" s="246"/>
    </row>
    <row r="34" spans="1:13" s="133" customFormat="1" ht="18.75" customHeight="1">
      <c r="A34" s="239"/>
      <c r="B34" s="239"/>
      <c r="C34" s="239"/>
      <c r="D34" s="239"/>
      <c r="E34" s="239"/>
      <c r="F34" s="239"/>
      <c r="G34" s="240"/>
      <c r="H34" s="240"/>
      <c r="I34" s="240"/>
      <c r="J34" s="240"/>
      <c r="K34" s="240"/>
      <c r="L34" s="240"/>
      <c r="M34" s="542"/>
    </row>
  </sheetData>
  <sheetProtection/>
  <mergeCells count="40">
    <mergeCell ref="M4:M5"/>
    <mergeCell ref="L4:L5"/>
    <mergeCell ref="E4:E5"/>
    <mergeCell ref="A1:L1"/>
    <mergeCell ref="A3:L3"/>
    <mergeCell ref="A4:C5"/>
    <mergeCell ref="D4:D5"/>
    <mergeCell ref="F4:F5"/>
    <mergeCell ref="G4:G5"/>
    <mergeCell ref="H4:H5"/>
    <mergeCell ref="A15:C15"/>
    <mergeCell ref="A16:C16"/>
    <mergeCell ref="A18:C18"/>
    <mergeCell ref="A17:C17"/>
    <mergeCell ref="J4:K4"/>
    <mergeCell ref="A6:C6"/>
    <mergeCell ref="A9:C9"/>
    <mergeCell ref="A10:C10"/>
    <mergeCell ref="A11:C11"/>
    <mergeCell ref="I4:I5"/>
    <mergeCell ref="A7:C7"/>
    <mergeCell ref="A8:C8"/>
    <mergeCell ref="A19:C19"/>
    <mergeCell ref="A24:C24"/>
    <mergeCell ref="A25:C25"/>
    <mergeCell ref="A26:C26"/>
    <mergeCell ref="A23:C23"/>
    <mergeCell ref="A12:C12"/>
    <mergeCell ref="A13:C13"/>
    <mergeCell ref="A14:C14"/>
    <mergeCell ref="A30:C30"/>
    <mergeCell ref="A31:C31"/>
    <mergeCell ref="A20:C20"/>
    <mergeCell ref="A21:C21"/>
    <mergeCell ref="A33:C33"/>
    <mergeCell ref="A32:D32"/>
    <mergeCell ref="A22:C22"/>
    <mergeCell ref="A27:C27"/>
    <mergeCell ref="A29:C29"/>
    <mergeCell ref="A28:C28"/>
  </mergeCells>
  <printOptions/>
  <pageMargins left="0.15" right="0.15" top="0.14" bottom="0.13" header="0.14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9"/>
  <sheetViews>
    <sheetView view="pageBreakPreview" zoomScaleSheetLayoutView="100" workbookViewId="0" topLeftCell="A2">
      <pane xSplit="1" ySplit="3" topLeftCell="W32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M18" sqref="AM18"/>
    </sheetView>
  </sheetViews>
  <sheetFormatPr defaultColWidth="9.140625" defaultRowHeight="12.75"/>
  <cols>
    <col min="1" max="1" width="27.28125" style="15" customWidth="1"/>
    <col min="2" max="2" width="10.421875" style="15" customWidth="1"/>
    <col min="3" max="3" width="7.421875" style="15" customWidth="1"/>
    <col min="4" max="4" width="9.28125" style="15" customWidth="1"/>
    <col min="5" max="6" width="7.421875" style="15" customWidth="1"/>
    <col min="7" max="7" width="7.421875" style="15" hidden="1" customWidth="1"/>
    <col min="8" max="8" width="6.421875" style="15" customWidth="1"/>
    <col min="9" max="9" width="6.421875" style="15" hidden="1" customWidth="1"/>
    <col min="10" max="10" width="8.421875" style="15" customWidth="1"/>
    <col min="11" max="11" width="6.421875" style="15" hidden="1" customWidth="1"/>
    <col min="12" max="12" width="7.421875" style="15" customWidth="1"/>
    <col min="13" max="13" width="7.57421875" style="15" customWidth="1"/>
    <col min="14" max="14" width="10.57421875" style="15" customWidth="1"/>
    <col min="15" max="15" width="6.421875" style="15" hidden="1" customWidth="1"/>
    <col min="16" max="16" width="6.7109375" style="15" customWidth="1"/>
    <col min="17" max="17" width="8.7109375" style="15" customWidth="1"/>
    <col min="18" max="18" width="6.421875" style="15" hidden="1" customWidth="1"/>
    <col min="19" max="19" width="10.7109375" style="15" customWidth="1"/>
    <col min="20" max="20" width="8.28125" style="15" customWidth="1"/>
    <col min="21" max="21" width="8.421875" style="15" customWidth="1"/>
    <col min="22" max="22" width="10.7109375" style="15" customWidth="1"/>
    <col min="23" max="23" width="8.00390625" style="15" customWidth="1"/>
    <col min="24" max="24" width="8.140625" style="15" customWidth="1"/>
    <col min="25" max="25" width="6.8515625" style="15" customWidth="1"/>
    <col min="26" max="26" width="6.421875" style="15" customWidth="1"/>
    <col min="27" max="27" width="5.28125" style="15" hidden="1" customWidth="1"/>
    <col min="28" max="28" width="13.57421875" style="15" customWidth="1"/>
    <col min="29" max="29" width="6.421875" style="15" hidden="1" customWidth="1"/>
    <col min="30" max="30" width="7.8515625" style="15" customWidth="1"/>
    <col min="31" max="31" width="6.28125" style="15" hidden="1" customWidth="1"/>
    <col min="32" max="32" width="5.7109375" style="15" hidden="1" customWidth="1"/>
    <col min="33" max="33" width="10.140625" style="15" customWidth="1"/>
    <col min="34" max="34" width="7.00390625" style="15" hidden="1" customWidth="1"/>
    <col min="35" max="35" width="8.140625" style="15" customWidth="1"/>
    <col min="36" max="36" width="7.7109375" style="15" customWidth="1"/>
    <col min="37" max="37" width="13.57421875" style="15" customWidth="1"/>
    <col min="38" max="38" width="7.7109375" style="15" hidden="1" customWidth="1"/>
    <col min="39" max="39" width="10.00390625" style="15" customWidth="1"/>
    <col min="40" max="40" width="11.7109375" style="15" customWidth="1"/>
    <col min="41" max="41" width="14.00390625" style="15" customWidth="1"/>
    <col min="42" max="16384" width="9.140625" style="15" customWidth="1"/>
  </cols>
  <sheetData>
    <row r="1" spans="36:37" ht="12.75" hidden="1">
      <c r="AJ1" s="21"/>
      <c r="AK1" s="20"/>
    </row>
    <row r="2" spans="1:37" ht="15">
      <c r="A2" s="82" t="s">
        <v>208</v>
      </c>
      <c r="AJ2" s="21"/>
      <c r="AK2" s="20"/>
    </row>
    <row r="3" spans="1:37" s="13" customFormat="1" ht="14.25" customHeight="1" thickBot="1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1" s="6" customFormat="1" ht="37.5" customHeight="1" thickBot="1">
      <c r="A4" s="154"/>
      <c r="B4" s="316">
        <v>4111</v>
      </c>
      <c r="C4" s="27">
        <v>4112</v>
      </c>
      <c r="D4" s="28">
        <v>4212</v>
      </c>
      <c r="E4" s="28">
        <v>4213</v>
      </c>
      <c r="F4" s="28">
        <v>4214</v>
      </c>
      <c r="G4" s="28">
        <v>4215</v>
      </c>
      <c r="H4" s="28">
        <v>4221</v>
      </c>
      <c r="I4" s="28">
        <v>4222</v>
      </c>
      <c r="J4" s="28">
        <v>4232</v>
      </c>
      <c r="K4" s="28">
        <v>4234</v>
      </c>
      <c r="L4" s="28">
        <v>4237</v>
      </c>
      <c r="M4" s="28">
        <v>4239</v>
      </c>
      <c r="N4" s="28">
        <v>4241</v>
      </c>
      <c r="O4" s="28">
        <v>4251</v>
      </c>
      <c r="P4" s="28">
        <v>4252</v>
      </c>
      <c r="Q4" s="28">
        <v>4261</v>
      </c>
      <c r="R4" s="28">
        <v>4262</v>
      </c>
      <c r="S4" s="28" t="s">
        <v>54</v>
      </c>
      <c r="T4" s="28" t="s">
        <v>55</v>
      </c>
      <c r="U4" s="28" t="s">
        <v>2</v>
      </c>
      <c r="V4" s="28">
        <v>4511</v>
      </c>
      <c r="W4" s="28">
        <v>4637</v>
      </c>
      <c r="X4" s="28" t="s">
        <v>57</v>
      </c>
      <c r="Y4" s="28">
        <v>4819</v>
      </c>
      <c r="Z4" s="63" t="s">
        <v>63</v>
      </c>
      <c r="AA4" s="317">
        <v>4891</v>
      </c>
      <c r="AB4" s="65" t="s">
        <v>133</v>
      </c>
      <c r="AC4" s="183">
        <v>5111</v>
      </c>
      <c r="AD4" s="30" t="s">
        <v>85</v>
      </c>
      <c r="AE4" s="30" t="s">
        <v>59</v>
      </c>
      <c r="AF4" s="30" t="s">
        <v>60</v>
      </c>
      <c r="AG4" s="30" t="s">
        <v>53</v>
      </c>
      <c r="AH4" s="61" t="s">
        <v>61</v>
      </c>
      <c r="AI4" s="61" t="s">
        <v>62</v>
      </c>
      <c r="AJ4" s="66" t="s">
        <v>187</v>
      </c>
      <c r="AK4" s="318" t="s">
        <v>135</v>
      </c>
      <c r="AL4" s="156">
        <v>8111</v>
      </c>
      <c r="AM4" s="215">
        <v>8411</v>
      </c>
      <c r="AN4" s="319" t="s">
        <v>196</v>
      </c>
      <c r="AO4" s="343" t="s">
        <v>197</v>
      </c>
    </row>
    <row r="5" spans="1:41" s="212" customFormat="1" ht="18.75" customHeight="1">
      <c r="A5" s="344" t="s">
        <v>129</v>
      </c>
      <c r="B5" s="445">
        <v>18164</v>
      </c>
      <c r="C5" s="364">
        <v>380</v>
      </c>
      <c r="D5" s="364">
        <v>1585.7</v>
      </c>
      <c r="E5" s="364">
        <v>10</v>
      </c>
      <c r="F5" s="364">
        <v>343.6</v>
      </c>
      <c r="G5" s="364"/>
      <c r="H5" s="364">
        <v>22.8</v>
      </c>
      <c r="I5" s="364"/>
      <c r="J5" s="364">
        <v>44</v>
      </c>
      <c r="K5" s="364"/>
      <c r="L5" s="364">
        <v>780</v>
      </c>
      <c r="M5" s="364">
        <v>9.6</v>
      </c>
      <c r="N5" s="364">
        <v>786.2</v>
      </c>
      <c r="O5" s="364"/>
      <c r="P5" s="364">
        <v>146</v>
      </c>
      <c r="Q5" s="364">
        <v>871.2</v>
      </c>
      <c r="R5" s="364"/>
      <c r="S5" s="364">
        <v>2312.8</v>
      </c>
      <c r="T5" s="386">
        <v>148.4</v>
      </c>
      <c r="U5" s="364"/>
      <c r="V5" s="364"/>
      <c r="W5" s="364"/>
      <c r="X5" s="364"/>
      <c r="Y5" s="364"/>
      <c r="Z5" s="387"/>
      <c r="AA5" s="388"/>
      <c r="AB5" s="389">
        <f>SUM(B5:AA5)</f>
        <v>25604.3</v>
      </c>
      <c r="AC5" s="390"/>
      <c r="AD5" s="211"/>
      <c r="AE5" s="364"/>
      <c r="AF5" s="364"/>
      <c r="AG5" s="364">
        <v>990</v>
      </c>
      <c r="AH5" s="364"/>
      <c r="AI5" s="391"/>
      <c r="AJ5" s="389">
        <f aca="true" t="shared" si="0" ref="AJ5:AJ19">SUM(AC5+AD5+AE5+AF5+AG5+AH5+AI5)</f>
        <v>990</v>
      </c>
      <c r="AK5" s="392">
        <f aca="true" t="shared" si="1" ref="AK5:AK18">SUM(AB5,AJ5)</f>
        <v>26594.3</v>
      </c>
      <c r="AL5" s="393"/>
      <c r="AM5" s="394"/>
      <c r="AN5" s="395">
        <f>AL5+AM5</f>
        <v>0</v>
      </c>
      <c r="AO5" s="396">
        <f aca="true" t="shared" si="2" ref="AO5:AO12">AK5+AN5</f>
        <v>26594.3</v>
      </c>
    </row>
    <row r="6" spans="1:41" s="212" customFormat="1" ht="18.75" customHeight="1">
      <c r="A6" s="345" t="s">
        <v>130</v>
      </c>
      <c r="B6" s="446">
        <v>1040.3</v>
      </c>
      <c r="C6" s="368"/>
      <c r="D6" s="368">
        <v>83.6</v>
      </c>
      <c r="E6" s="368"/>
      <c r="F6" s="368">
        <v>21.1</v>
      </c>
      <c r="G6" s="368"/>
      <c r="H6" s="368"/>
      <c r="I6" s="368"/>
      <c r="J6" s="368"/>
      <c r="K6" s="368"/>
      <c r="L6" s="368"/>
      <c r="M6" s="368"/>
      <c r="N6" s="368">
        <v>150</v>
      </c>
      <c r="O6" s="368"/>
      <c r="P6" s="368"/>
      <c r="Q6" s="368">
        <v>20</v>
      </c>
      <c r="R6" s="368"/>
      <c r="S6" s="368"/>
      <c r="T6" s="368"/>
      <c r="U6" s="368"/>
      <c r="V6" s="368"/>
      <c r="W6" s="368"/>
      <c r="X6" s="368"/>
      <c r="Y6" s="368"/>
      <c r="Z6" s="397"/>
      <c r="AA6" s="388"/>
      <c r="AB6" s="389">
        <f aca="true" t="shared" si="3" ref="AB6:AB19">SUM(B6:AA6)</f>
        <v>1314.9999999999998</v>
      </c>
      <c r="AC6" s="390"/>
      <c r="AD6" s="214"/>
      <c r="AE6" s="368"/>
      <c r="AF6" s="368"/>
      <c r="AG6" s="368"/>
      <c r="AH6" s="368"/>
      <c r="AI6" s="397"/>
      <c r="AJ6" s="389">
        <f t="shared" si="0"/>
        <v>0</v>
      </c>
      <c r="AK6" s="392">
        <f t="shared" si="1"/>
        <v>1314.9999999999998</v>
      </c>
      <c r="AL6" s="398"/>
      <c r="AM6" s="399"/>
      <c r="AN6" s="400">
        <f aca="true" t="shared" si="4" ref="AN6:AN44">AL6+AM6</f>
        <v>0</v>
      </c>
      <c r="AO6" s="396">
        <f t="shared" si="2"/>
        <v>1314.9999999999998</v>
      </c>
    </row>
    <row r="7" spans="1:41" s="212" customFormat="1" ht="18.75" customHeight="1">
      <c r="A7" s="345" t="s">
        <v>0</v>
      </c>
      <c r="B7" s="446">
        <v>2398.4</v>
      </c>
      <c r="C7" s="368"/>
      <c r="D7" s="368"/>
      <c r="E7" s="368"/>
      <c r="F7" s="368"/>
      <c r="G7" s="368"/>
      <c r="H7" s="368"/>
      <c r="I7" s="368"/>
      <c r="J7" s="368">
        <v>86.4</v>
      </c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97"/>
      <c r="AA7" s="388"/>
      <c r="AB7" s="389">
        <f t="shared" si="3"/>
        <v>2484.8</v>
      </c>
      <c r="AC7" s="390"/>
      <c r="AD7" s="368"/>
      <c r="AE7" s="368"/>
      <c r="AF7" s="368"/>
      <c r="AG7" s="368"/>
      <c r="AH7" s="368"/>
      <c r="AI7" s="397"/>
      <c r="AJ7" s="389">
        <f t="shared" si="0"/>
        <v>0</v>
      </c>
      <c r="AK7" s="392">
        <f t="shared" si="1"/>
        <v>2484.8</v>
      </c>
      <c r="AL7" s="398"/>
      <c r="AM7" s="399"/>
      <c r="AN7" s="400">
        <f t="shared" si="4"/>
        <v>0</v>
      </c>
      <c r="AO7" s="396">
        <f t="shared" si="2"/>
        <v>2484.8</v>
      </c>
    </row>
    <row r="8" spans="1:41" s="212" customFormat="1" ht="18.75" customHeight="1">
      <c r="A8" s="345" t="s">
        <v>1</v>
      </c>
      <c r="B8" s="446"/>
      <c r="C8" s="368"/>
      <c r="D8" s="368"/>
      <c r="E8" s="368"/>
      <c r="F8" s="368"/>
      <c r="G8" s="368"/>
      <c r="H8" s="368"/>
      <c r="I8" s="368"/>
      <c r="J8" s="368"/>
      <c r="K8" s="368"/>
      <c r="L8" s="401"/>
      <c r="M8" s="368"/>
      <c r="N8" s="368">
        <v>100</v>
      </c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>
        <v>400</v>
      </c>
      <c r="Z8" s="397">
        <v>42.8</v>
      </c>
      <c r="AA8" s="388"/>
      <c r="AB8" s="389">
        <f t="shared" si="3"/>
        <v>542.8</v>
      </c>
      <c r="AC8" s="390"/>
      <c r="AD8" s="368">
        <v>185</v>
      </c>
      <c r="AE8" s="368"/>
      <c r="AF8" s="368"/>
      <c r="AG8" s="368">
        <v>485</v>
      </c>
      <c r="AH8" s="368"/>
      <c r="AI8" s="397">
        <v>930</v>
      </c>
      <c r="AJ8" s="389">
        <f t="shared" si="0"/>
        <v>1600</v>
      </c>
      <c r="AK8" s="392">
        <f t="shared" si="1"/>
        <v>2142.8</v>
      </c>
      <c r="AL8" s="398"/>
      <c r="AM8" s="399"/>
      <c r="AN8" s="400">
        <f t="shared" si="4"/>
        <v>0</v>
      </c>
      <c r="AO8" s="396">
        <f t="shared" si="2"/>
        <v>2142.8</v>
      </c>
    </row>
    <row r="9" spans="1:41" s="212" customFormat="1" ht="18.75" customHeight="1">
      <c r="A9" s="345" t="s">
        <v>107</v>
      </c>
      <c r="B9" s="446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97"/>
      <c r="AA9" s="388"/>
      <c r="AB9" s="389">
        <f t="shared" si="3"/>
        <v>0</v>
      </c>
      <c r="AC9" s="390"/>
      <c r="AD9" s="368"/>
      <c r="AE9" s="368"/>
      <c r="AF9" s="368"/>
      <c r="AG9" s="368"/>
      <c r="AH9" s="368"/>
      <c r="AI9" s="397"/>
      <c r="AJ9" s="389">
        <f t="shared" si="0"/>
        <v>0</v>
      </c>
      <c r="AK9" s="392">
        <f t="shared" si="1"/>
        <v>0</v>
      </c>
      <c r="AL9" s="398"/>
      <c r="AM9" s="399"/>
      <c r="AN9" s="400">
        <f t="shared" si="4"/>
        <v>0</v>
      </c>
      <c r="AO9" s="396">
        <f t="shared" si="2"/>
        <v>0</v>
      </c>
    </row>
    <row r="10" spans="1:41" s="212" customFormat="1" ht="18.75" customHeight="1">
      <c r="A10" s="345" t="s">
        <v>112</v>
      </c>
      <c r="B10" s="446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97"/>
      <c r="AA10" s="388"/>
      <c r="AB10" s="389">
        <f t="shared" si="3"/>
        <v>0</v>
      </c>
      <c r="AC10" s="390"/>
      <c r="AD10" s="368"/>
      <c r="AE10" s="368"/>
      <c r="AF10" s="368"/>
      <c r="AG10" s="368"/>
      <c r="AH10" s="368"/>
      <c r="AI10" s="397"/>
      <c r="AJ10" s="389">
        <f t="shared" si="0"/>
        <v>0</v>
      </c>
      <c r="AK10" s="392">
        <f t="shared" si="1"/>
        <v>0</v>
      </c>
      <c r="AL10" s="398"/>
      <c r="AM10" s="399"/>
      <c r="AN10" s="400">
        <f t="shared" si="4"/>
        <v>0</v>
      </c>
      <c r="AO10" s="396">
        <f t="shared" si="2"/>
        <v>0</v>
      </c>
    </row>
    <row r="11" spans="1:41" s="212" customFormat="1" ht="18.75" customHeight="1">
      <c r="A11" s="345" t="s">
        <v>131</v>
      </c>
      <c r="B11" s="446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>
        <v>500</v>
      </c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97"/>
      <c r="AA11" s="388"/>
      <c r="AB11" s="389">
        <f t="shared" si="3"/>
        <v>500</v>
      </c>
      <c r="AC11" s="390"/>
      <c r="AD11" s="368"/>
      <c r="AE11" s="368"/>
      <c r="AF11" s="368"/>
      <c r="AG11" s="368"/>
      <c r="AH11" s="368"/>
      <c r="AI11" s="397"/>
      <c r="AJ11" s="389">
        <f t="shared" si="0"/>
        <v>0</v>
      </c>
      <c r="AK11" s="392">
        <f t="shared" si="1"/>
        <v>500</v>
      </c>
      <c r="AL11" s="398"/>
      <c r="AM11" s="399"/>
      <c r="AN11" s="400">
        <f t="shared" si="4"/>
        <v>0</v>
      </c>
      <c r="AO11" s="396">
        <f t="shared" si="2"/>
        <v>500</v>
      </c>
    </row>
    <row r="12" spans="1:41" s="212" customFormat="1" ht="18.75" customHeight="1">
      <c r="A12" s="345" t="s">
        <v>136</v>
      </c>
      <c r="B12" s="446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>
        <v>595</v>
      </c>
      <c r="Y12" s="368"/>
      <c r="Z12" s="397"/>
      <c r="AA12" s="388"/>
      <c r="AB12" s="389">
        <f t="shared" si="3"/>
        <v>595</v>
      </c>
      <c r="AC12" s="390"/>
      <c r="AD12" s="368"/>
      <c r="AE12" s="368"/>
      <c r="AF12" s="368"/>
      <c r="AG12" s="368"/>
      <c r="AH12" s="368"/>
      <c r="AI12" s="397"/>
      <c r="AJ12" s="389">
        <f t="shared" si="0"/>
        <v>0</v>
      </c>
      <c r="AK12" s="392">
        <f t="shared" si="1"/>
        <v>595</v>
      </c>
      <c r="AL12" s="398"/>
      <c r="AM12" s="399"/>
      <c r="AN12" s="400">
        <f t="shared" si="4"/>
        <v>0</v>
      </c>
      <c r="AO12" s="396">
        <f t="shared" si="2"/>
        <v>595</v>
      </c>
    </row>
    <row r="13" spans="1:41" s="212" customFormat="1" ht="18.75" customHeight="1">
      <c r="A13" s="345" t="s">
        <v>105</v>
      </c>
      <c r="B13" s="445">
        <v>13496.2</v>
      </c>
      <c r="C13" s="364"/>
      <c r="D13" s="364"/>
      <c r="E13" s="364"/>
      <c r="F13" s="364">
        <v>160</v>
      </c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>
        <v>8136.2</v>
      </c>
      <c r="T13" s="364"/>
      <c r="U13" s="364"/>
      <c r="V13" s="364"/>
      <c r="W13" s="364"/>
      <c r="X13" s="364">
        <v>189.4</v>
      </c>
      <c r="Y13" s="364"/>
      <c r="Z13" s="387"/>
      <c r="AA13" s="388"/>
      <c r="AB13" s="389">
        <f t="shared" si="3"/>
        <v>21981.800000000003</v>
      </c>
      <c r="AC13" s="390"/>
      <c r="AD13" s="368"/>
      <c r="AE13" s="368"/>
      <c r="AF13" s="368"/>
      <c r="AG13" s="368"/>
      <c r="AH13" s="368"/>
      <c r="AI13" s="397"/>
      <c r="AJ13" s="389">
        <f t="shared" si="0"/>
        <v>0</v>
      </c>
      <c r="AK13" s="392">
        <f t="shared" si="1"/>
        <v>21981.800000000003</v>
      </c>
      <c r="AL13" s="398"/>
      <c r="AM13" s="399"/>
      <c r="AN13" s="400">
        <f t="shared" si="4"/>
        <v>0</v>
      </c>
      <c r="AO13" s="396">
        <f aca="true" t="shared" si="5" ref="AO13:AO44">AK13+AN13</f>
        <v>21981.800000000003</v>
      </c>
    </row>
    <row r="14" spans="1:41" s="212" customFormat="1" ht="18.75" customHeight="1">
      <c r="A14" s="345" t="s">
        <v>104</v>
      </c>
      <c r="B14" s="446">
        <v>452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97"/>
      <c r="AA14" s="388"/>
      <c r="AB14" s="389">
        <f t="shared" si="3"/>
        <v>452</v>
      </c>
      <c r="AC14" s="390"/>
      <c r="AD14" s="368"/>
      <c r="AE14" s="368"/>
      <c r="AF14" s="368"/>
      <c r="AG14" s="368"/>
      <c r="AH14" s="368"/>
      <c r="AI14" s="397"/>
      <c r="AJ14" s="389">
        <f t="shared" si="0"/>
        <v>0</v>
      </c>
      <c r="AK14" s="392">
        <f t="shared" si="1"/>
        <v>452</v>
      </c>
      <c r="AL14" s="398"/>
      <c r="AM14" s="399"/>
      <c r="AN14" s="400">
        <f t="shared" si="4"/>
        <v>0</v>
      </c>
      <c r="AO14" s="396">
        <f t="shared" si="5"/>
        <v>452</v>
      </c>
    </row>
    <row r="15" spans="1:41" s="212" customFormat="1" ht="18.75" customHeight="1">
      <c r="A15" s="345" t="s">
        <v>103</v>
      </c>
      <c r="B15" s="446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97"/>
      <c r="AA15" s="388"/>
      <c r="AB15" s="389">
        <f t="shared" si="3"/>
        <v>0</v>
      </c>
      <c r="AC15" s="390"/>
      <c r="AD15" s="368"/>
      <c r="AE15" s="368"/>
      <c r="AF15" s="368"/>
      <c r="AG15" s="368"/>
      <c r="AH15" s="368"/>
      <c r="AI15" s="397"/>
      <c r="AJ15" s="389">
        <f t="shared" si="0"/>
        <v>0</v>
      </c>
      <c r="AK15" s="392">
        <f t="shared" si="1"/>
        <v>0</v>
      </c>
      <c r="AL15" s="398"/>
      <c r="AM15" s="399"/>
      <c r="AN15" s="400">
        <f t="shared" si="4"/>
        <v>0</v>
      </c>
      <c r="AO15" s="396">
        <f t="shared" si="5"/>
        <v>0</v>
      </c>
    </row>
    <row r="16" spans="1:41" s="212" customFormat="1" ht="20.25" customHeight="1" hidden="1">
      <c r="A16" s="345" t="s">
        <v>106</v>
      </c>
      <c r="B16" s="446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97"/>
      <c r="AA16" s="388"/>
      <c r="AB16" s="389">
        <f t="shared" si="3"/>
        <v>0</v>
      </c>
      <c r="AC16" s="390"/>
      <c r="AD16" s="368"/>
      <c r="AE16" s="368"/>
      <c r="AF16" s="368"/>
      <c r="AG16" s="368"/>
      <c r="AH16" s="368"/>
      <c r="AI16" s="397"/>
      <c r="AJ16" s="389">
        <f t="shared" si="0"/>
        <v>0</v>
      </c>
      <c r="AK16" s="392">
        <f t="shared" si="1"/>
        <v>0</v>
      </c>
      <c r="AL16" s="398"/>
      <c r="AM16" s="399"/>
      <c r="AN16" s="400">
        <f t="shared" si="4"/>
        <v>0</v>
      </c>
      <c r="AO16" s="396">
        <f t="shared" si="5"/>
        <v>0</v>
      </c>
    </row>
    <row r="17" spans="1:41" s="212" customFormat="1" ht="18.75" customHeight="1">
      <c r="A17" s="345" t="s">
        <v>86</v>
      </c>
      <c r="B17" s="446">
        <v>3565.9</v>
      </c>
      <c r="C17" s="368"/>
      <c r="D17" s="368">
        <v>151</v>
      </c>
      <c r="E17" s="368">
        <v>93</v>
      </c>
      <c r="F17" s="368">
        <v>30.4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>
        <v>85</v>
      </c>
      <c r="R17" s="368"/>
      <c r="S17" s="368">
        <v>278.1</v>
      </c>
      <c r="T17" s="368"/>
      <c r="U17" s="368">
        <v>250</v>
      </c>
      <c r="V17" s="368"/>
      <c r="W17" s="368"/>
      <c r="X17" s="368"/>
      <c r="Y17" s="368"/>
      <c r="Z17" s="397"/>
      <c r="AA17" s="402"/>
      <c r="AB17" s="389">
        <f t="shared" si="3"/>
        <v>4453.400000000001</v>
      </c>
      <c r="AC17" s="390"/>
      <c r="AD17" s="368"/>
      <c r="AE17" s="368"/>
      <c r="AF17" s="368"/>
      <c r="AG17" s="368"/>
      <c r="AH17" s="368"/>
      <c r="AI17" s="397"/>
      <c r="AJ17" s="389">
        <f t="shared" si="0"/>
        <v>0</v>
      </c>
      <c r="AK17" s="403">
        <f t="shared" si="1"/>
        <v>4453.400000000001</v>
      </c>
      <c r="AL17" s="398"/>
      <c r="AM17" s="399"/>
      <c r="AN17" s="400">
        <f t="shared" si="4"/>
        <v>0</v>
      </c>
      <c r="AO17" s="396">
        <f t="shared" si="5"/>
        <v>4453.400000000001</v>
      </c>
    </row>
    <row r="18" spans="1:41" s="8" customFormat="1" ht="18.75" customHeight="1">
      <c r="A18" s="277" t="s">
        <v>170</v>
      </c>
      <c r="B18" s="447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5"/>
      <c r="AA18" s="406"/>
      <c r="AB18" s="407">
        <f t="shared" si="3"/>
        <v>0</v>
      </c>
      <c r="AC18" s="408"/>
      <c r="AD18" s="404"/>
      <c r="AE18" s="404"/>
      <c r="AF18" s="404"/>
      <c r="AG18" s="404"/>
      <c r="AH18" s="404"/>
      <c r="AI18" s="405"/>
      <c r="AJ18" s="407">
        <f t="shared" si="0"/>
        <v>0</v>
      </c>
      <c r="AK18" s="409">
        <f t="shared" si="1"/>
        <v>0</v>
      </c>
      <c r="AL18" s="410"/>
      <c r="AM18" s="416">
        <v>-3929.6</v>
      </c>
      <c r="AN18" s="411">
        <f t="shared" si="4"/>
        <v>-3929.6</v>
      </c>
      <c r="AO18" s="396">
        <f t="shared" si="5"/>
        <v>-3929.6</v>
      </c>
    </row>
    <row r="19" spans="1:41" s="8" customFormat="1" ht="18.75" customHeight="1" thickBot="1">
      <c r="A19" s="272" t="s">
        <v>169</v>
      </c>
      <c r="B19" s="448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3"/>
      <c r="AA19" s="414"/>
      <c r="AB19" s="407">
        <f t="shared" si="3"/>
        <v>0</v>
      </c>
      <c r="AC19" s="415"/>
      <c r="AD19" s="412"/>
      <c r="AE19" s="412"/>
      <c r="AF19" s="412"/>
      <c r="AG19" s="412"/>
      <c r="AH19" s="412"/>
      <c r="AI19" s="413"/>
      <c r="AJ19" s="407">
        <f t="shared" si="0"/>
        <v>0</v>
      </c>
      <c r="AK19" s="409">
        <f>SUM(AB19,AJ19-AA19)</f>
        <v>0</v>
      </c>
      <c r="AL19" s="410"/>
      <c r="AM19" s="416"/>
      <c r="AN19" s="411">
        <f t="shared" si="4"/>
        <v>0</v>
      </c>
      <c r="AO19" s="417">
        <f t="shared" si="5"/>
        <v>0</v>
      </c>
    </row>
    <row r="20" spans="1:41" s="60" customFormat="1" ht="25.5" customHeight="1" thickBot="1">
      <c r="A20" s="62" t="s">
        <v>132</v>
      </c>
      <c r="B20" s="449">
        <f>B5+B6+B7+B8+B9+B10+B11+B12+B13+B14+B15+B16+B17+B18+B19</f>
        <v>39116.8</v>
      </c>
      <c r="C20" s="359">
        <f aca="true" t="shared" si="6" ref="C20:AO20">C5+C6+C7+C8+C9+C10+C11+C12+C13+C14+C15+C16+C17+C18+C19</f>
        <v>380</v>
      </c>
      <c r="D20" s="359">
        <f t="shared" si="6"/>
        <v>1820.3</v>
      </c>
      <c r="E20" s="359">
        <f t="shared" si="6"/>
        <v>103</v>
      </c>
      <c r="F20" s="359">
        <f t="shared" si="6"/>
        <v>555.1</v>
      </c>
      <c r="G20" s="359">
        <f t="shared" si="6"/>
        <v>0</v>
      </c>
      <c r="H20" s="359">
        <f>H5+H6+H7+H8+H9+H10+H11+H12+H13+H14+H15+H16+H17+H18+H19</f>
        <v>22.8</v>
      </c>
      <c r="I20" s="359">
        <f>I5+I6+I7+I8+I9+I10+I11+I12+I13+I14+I15+I16+I17+I18+I19</f>
        <v>0</v>
      </c>
      <c r="J20" s="359">
        <f t="shared" si="6"/>
        <v>130.4</v>
      </c>
      <c r="K20" s="359">
        <f t="shared" si="6"/>
        <v>0</v>
      </c>
      <c r="L20" s="359">
        <f t="shared" si="6"/>
        <v>780</v>
      </c>
      <c r="M20" s="359">
        <f t="shared" si="6"/>
        <v>509.6</v>
      </c>
      <c r="N20" s="359">
        <f t="shared" si="6"/>
        <v>1036.2</v>
      </c>
      <c r="O20" s="359">
        <f t="shared" si="6"/>
        <v>0</v>
      </c>
      <c r="P20" s="359">
        <f t="shared" si="6"/>
        <v>146</v>
      </c>
      <c r="Q20" s="359">
        <f t="shared" si="6"/>
        <v>976.2</v>
      </c>
      <c r="R20" s="359">
        <f t="shared" si="6"/>
        <v>0</v>
      </c>
      <c r="S20" s="359">
        <f t="shared" si="6"/>
        <v>10727.1</v>
      </c>
      <c r="T20" s="359">
        <f t="shared" si="6"/>
        <v>148.4</v>
      </c>
      <c r="U20" s="359">
        <f t="shared" si="6"/>
        <v>250</v>
      </c>
      <c r="V20" s="359">
        <f t="shared" si="6"/>
        <v>0</v>
      </c>
      <c r="W20" s="359">
        <f t="shared" si="6"/>
        <v>0</v>
      </c>
      <c r="X20" s="359">
        <f t="shared" si="6"/>
        <v>784.4</v>
      </c>
      <c r="Y20" s="418">
        <f t="shared" si="6"/>
        <v>400</v>
      </c>
      <c r="Z20" s="359">
        <f t="shared" si="6"/>
        <v>42.8</v>
      </c>
      <c r="AA20" s="361">
        <f t="shared" si="6"/>
        <v>0</v>
      </c>
      <c r="AB20" s="419">
        <f t="shared" si="6"/>
        <v>57929.1</v>
      </c>
      <c r="AC20" s="358">
        <f t="shared" si="6"/>
        <v>0</v>
      </c>
      <c r="AD20" s="359">
        <f t="shared" si="6"/>
        <v>185</v>
      </c>
      <c r="AE20" s="359">
        <f t="shared" si="6"/>
        <v>0</v>
      </c>
      <c r="AF20" s="359">
        <f t="shared" si="6"/>
        <v>0</v>
      </c>
      <c r="AG20" s="359">
        <f t="shared" si="6"/>
        <v>1475</v>
      </c>
      <c r="AH20" s="359">
        <f t="shared" si="6"/>
        <v>0</v>
      </c>
      <c r="AI20" s="360">
        <f t="shared" si="6"/>
        <v>930</v>
      </c>
      <c r="AJ20" s="420">
        <f t="shared" si="6"/>
        <v>2590</v>
      </c>
      <c r="AK20" s="358">
        <f t="shared" si="6"/>
        <v>60519.1</v>
      </c>
      <c r="AL20" s="359">
        <f t="shared" si="6"/>
        <v>0</v>
      </c>
      <c r="AM20" s="360">
        <f t="shared" si="6"/>
        <v>-3929.6</v>
      </c>
      <c r="AN20" s="421">
        <f t="shared" si="6"/>
        <v>-3929.6</v>
      </c>
      <c r="AO20" s="419">
        <f t="shared" si="6"/>
        <v>56589.5</v>
      </c>
    </row>
    <row r="21" spans="1:41" s="8" customFormat="1" ht="17.25" customHeight="1">
      <c r="A21" s="310" t="s">
        <v>145</v>
      </c>
      <c r="B21" s="450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>
        <f>'hoaki dram18'!E6</f>
        <v>3384.2</v>
      </c>
      <c r="W21" s="422"/>
      <c r="X21" s="422"/>
      <c r="Y21" s="422"/>
      <c r="Z21" s="423"/>
      <c r="AA21" s="424"/>
      <c r="AB21" s="407">
        <f aca="true" t="shared" si="7" ref="AB21:AB44">SUM(B21:Z21)</f>
        <v>3384.2</v>
      </c>
      <c r="AC21" s="408"/>
      <c r="AD21" s="422"/>
      <c r="AE21" s="422"/>
      <c r="AF21" s="422"/>
      <c r="AG21" s="422"/>
      <c r="AH21" s="422"/>
      <c r="AI21" s="423"/>
      <c r="AJ21" s="407">
        <f aca="true" t="shared" si="8" ref="AJ21:AJ32">SUM(AC21+AD21+AE21+AF21+AG21+AH21+AI21)</f>
        <v>0</v>
      </c>
      <c r="AK21" s="425">
        <f aca="true" t="shared" si="9" ref="AK21:AK32">SUM(AB21,AJ21)</f>
        <v>3384.2</v>
      </c>
      <c r="AL21" s="410"/>
      <c r="AM21" s="416"/>
      <c r="AN21" s="411">
        <f t="shared" si="4"/>
        <v>0</v>
      </c>
      <c r="AO21" s="426">
        <f t="shared" si="5"/>
        <v>3384.2</v>
      </c>
    </row>
    <row r="22" spans="1:41" s="8" customFormat="1" ht="17.25" customHeight="1">
      <c r="A22" s="310" t="s">
        <v>144</v>
      </c>
      <c r="B22" s="447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22">
        <f>'hoaki dram18'!E7</f>
        <v>2589.8</v>
      </c>
      <c r="W22" s="404"/>
      <c r="X22" s="404"/>
      <c r="Y22" s="404"/>
      <c r="Z22" s="405"/>
      <c r="AA22" s="424"/>
      <c r="AB22" s="407">
        <f t="shared" si="7"/>
        <v>2589.8</v>
      </c>
      <c r="AC22" s="408"/>
      <c r="AD22" s="404"/>
      <c r="AE22" s="404"/>
      <c r="AF22" s="404"/>
      <c r="AG22" s="404"/>
      <c r="AH22" s="404"/>
      <c r="AI22" s="405"/>
      <c r="AJ22" s="407">
        <f t="shared" si="8"/>
        <v>0</v>
      </c>
      <c r="AK22" s="425">
        <f t="shared" si="9"/>
        <v>2589.8</v>
      </c>
      <c r="AL22" s="410"/>
      <c r="AM22" s="416"/>
      <c r="AN22" s="411">
        <f t="shared" si="4"/>
        <v>0</v>
      </c>
      <c r="AO22" s="396">
        <f t="shared" si="5"/>
        <v>2589.8</v>
      </c>
    </row>
    <row r="23" spans="1:41" s="8" customFormat="1" ht="17.25" customHeight="1">
      <c r="A23" s="310" t="s">
        <v>143</v>
      </c>
      <c r="B23" s="447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22">
        <f>'hoaki dram18'!E8</f>
        <v>2538.4</v>
      </c>
      <c r="W23" s="404"/>
      <c r="X23" s="404"/>
      <c r="Y23" s="404"/>
      <c r="Z23" s="405"/>
      <c r="AA23" s="424"/>
      <c r="AB23" s="407">
        <f t="shared" si="7"/>
        <v>2538.4</v>
      </c>
      <c r="AC23" s="408"/>
      <c r="AD23" s="404"/>
      <c r="AE23" s="404"/>
      <c r="AF23" s="404"/>
      <c r="AG23" s="404"/>
      <c r="AH23" s="404"/>
      <c r="AI23" s="405"/>
      <c r="AJ23" s="407">
        <f t="shared" si="8"/>
        <v>0</v>
      </c>
      <c r="AK23" s="425">
        <f t="shared" si="9"/>
        <v>2538.4</v>
      </c>
      <c r="AL23" s="410"/>
      <c r="AM23" s="416"/>
      <c r="AN23" s="411">
        <f t="shared" si="4"/>
        <v>0</v>
      </c>
      <c r="AO23" s="396">
        <f t="shared" si="5"/>
        <v>2538.4</v>
      </c>
    </row>
    <row r="24" spans="1:41" s="8" customFormat="1" ht="17.25" customHeight="1">
      <c r="A24" s="310" t="s">
        <v>142</v>
      </c>
      <c r="B24" s="447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22">
        <f>'hoaki dram18'!E9</f>
        <v>4367.1</v>
      </c>
      <c r="W24" s="404"/>
      <c r="X24" s="404"/>
      <c r="Y24" s="404"/>
      <c r="Z24" s="405"/>
      <c r="AA24" s="424"/>
      <c r="AB24" s="407">
        <f t="shared" si="7"/>
        <v>4367.1</v>
      </c>
      <c r="AC24" s="408"/>
      <c r="AD24" s="404"/>
      <c r="AE24" s="404"/>
      <c r="AF24" s="404"/>
      <c r="AG24" s="404"/>
      <c r="AH24" s="404"/>
      <c r="AI24" s="405"/>
      <c r="AJ24" s="407">
        <f t="shared" si="8"/>
        <v>0</v>
      </c>
      <c r="AK24" s="425">
        <f t="shared" si="9"/>
        <v>4367.1</v>
      </c>
      <c r="AL24" s="410"/>
      <c r="AM24" s="416"/>
      <c r="AN24" s="411">
        <f t="shared" si="4"/>
        <v>0</v>
      </c>
      <c r="AO24" s="396">
        <f t="shared" si="5"/>
        <v>4367.1</v>
      </c>
    </row>
    <row r="25" spans="1:41" s="8" customFormat="1" ht="17.25" customHeight="1">
      <c r="A25" s="310" t="s">
        <v>141</v>
      </c>
      <c r="B25" s="447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22">
        <f>'hoaki dram18'!E10</f>
        <v>2622.9</v>
      </c>
      <c r="W25" s="404"/>
      <c r="X25" s="404"/>
      <c r="Y25" s="404"/>
      <c r="Z25" s="405"/>
      <c r="AA25" s="424"/>
      <c r="AB25" s="407">
        <f t="shared" si="7"/>
        <v>2622.9</v>
      </c>
      <c r="AC25" s="408"/>
      <c r="AD25" s="404"/>
      <c r="AE25" s="404"/>
      <c r="AF25" s="404"/>
      <c r="AG25" s="404"/>
      <c r="AH25" s="404"/>
      <c r="AI25" s="405"/>
      <c r="AJ25" s="407">
        <f t="shared" si="8"/>
        <v>0</v>
      </c>
      <c r="AK25" s="425">
        <f t="shared" si="9"/>
        <v>2622.9</v>
      </c>
      <c r="AL25" s="410"/>
      <c r="AM25" s="416"/>
      <c r="AN25" s="411">
        <f t="shared" si="4"/>
        <v>0</v>
      </c>
      <c r="AO25" s="396">
        <f t="shared" si="5"/>
        <v>2622.9</v>
      </c>
    </row>
    <row r="26" spans="1:41" s="8" customFormat="1" ht="17.25" customHeight="1">
      <c r="A26" s="310" t="s">
        <v>146</v>
      </c>
      <c r="B26" s="447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22">
        <f>'hoaki dram18'!E11</f>
        <v>3673.4</v>
      </c>
      <c r="W26" s="404"/>
      <c r="X26" s="404"/>
      <c r="Y26" s="404"/>
      <c r="Z26" s="405"/>
      <c r="AA26" s="424"/>
      <c r="AB26" s="407">
        <f t="shared" si="7"/>
        <v>3673.4</v>
      </c>
      <c r="AC26" s="408"/>
      <c r="AD26" s="404"/>
      <c r="AE26" s="404"/>
      <c r="AF26" s="404"/>
      <c r="AG26" s="404"/>
      <c r="AH26" s="404"/>
      <c r="AI26" s="405"/>
      <c r="AJ26" s="407">
        <f t="shared" si="8"/>
        <v>0</v>
      </c>
      <c r="AK26" s="425">
        <f t="shared" si="9"/>
        <v>3673.4</v>
      </c>
      <c r="AL26" s="410"/>
      <c r="AM26" s="416"/>
      <c r="AN26" s="411">
        <f t="shared" si="4"/>
        <v>0</v>
      </c>
      <c r="AO26" s="396">
        <f t="shared" si="5"/>
        <v>3673.4</v>
      </c>
    </row>
    <row r="27" spans="1:41" s="8" customFormat="1" ht="17.25" customHeight="1">
      <c r="A27" s="310" t="s">
        <v>147</v>
      </c>
      <c r="B27" s="447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22">
        <f>'hoaki dram18'!E12</f>
        <v>3488</v>
      </c>
      <c r="W27" s="404"/>
      <c r="X27" s="404"/>
      <c r="Y27" s="404"/>
      <c r="Z27" s="405"/>
      <c r="AA27" s="424"/>
      <c r="AB27" s="407">
        <f t="shared" si="7"/>
        <v>3488</v>
      </c>
      <c r="AC27" s="408"/>
      <c r="AD27" s="404"/>
      <c r="AE27" s="404"/>
      <c r="AF27" s="404"/>
      <c r="AG27" s="404"/>
      <c r="AH27" s="404"/>
      <c r="AI27" s="405"/>
      <c r="AJ27" s="407">
        <f t="shared" si="8"/>
        <v>0</v>
      </c>
      <c r="AK27" s="425">
        <f t="shared" si="9"/>
        <v>3488</v>
      </c>
      <c r="AL27" s="410"/>
      <c r="AM27" s="416"/>
      <c r="AN27" s="411">
        <f t="shared" si="4"/>
        <v>0</v>
      </c>
      <c r="AO27" s="396">
        <f t="shared" si="5"/>
        <v>3488</v>
      </c>
    </row>
    <row r="28" spans="1:41" s="8" customFormat="1" ht="17.25" customHeight="1">
      <c r="A28" s="310" t="s">
        <v>148</v>
      </c>
      <c r="B28" s="447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22">
        <f>'hoaki dram18'!E13</f>
        <v>3943.9</v>
      </c>
      <c r="W28" s="404"/>
      <c r="X28" s="404"/>
      <c r="Y28" s="404"/>
      <c r="Z28" s="405"/>
      <c r="AA28" s="424"/>
      <c r="AB28" s="407">
        <f t="shared" si="7"/>
        <v>3943.9</v>
      </c>
      <c r="AC28" s="408"/>
      <c r="AD28" s="404"/>
      <c r="AE28" s="404"/>
      <c r="AF28" s="404"/>
      <c r="AG28" s="404"/>
      <c r="AH28" s="404"/>
      <c r="AI28" s="405"/>
      <c r="AJ28" s="407">
        <f t="shared" si="8"/>
        <v>0</v>
      </c>
      <c r="AK28" s="425">
        <f t="shared" si="9"/>
        <v>3943.9</v>
      </c>
      <c r="AL28" s="410"/>
      <c r="AM28" s="416"/>
      <c r="AN28" s="411">
        <f t="shared" si="4"/>
        <v>0</v>
      </c>
      <c r="AO28" s="396">
        <f t="shared" si="5"/>
        <v>3943.9</v>
      </c>
    </row>
    <row r="29" spans="1:41" s="8" customFormat="1" ht="17.25" customHeight="1">
      <c r="A29" s="310" t="s">
        <v>149</v>
      </c>
      <c r="B29" s="447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22">
        <f>'hoaki dram18'!E14</f>
        <v>3473.1</v>
      </c>
      <c r="W29" s="404"/>
      <c r="X29" s="404"/>
      <c r="Y29" s="404"/>
      <c r="Z29" s="405"/>
      <c r="AA29" s="424"/>
      <c r="AB29" s="407">
        <f t="shared" si="7"/>
        <v>3473.1</v>
      </c>
      <c r="AC29" s="408"/>
      <c r="AD29" s="404"/>
      <c r="AE29" s="404"/>
      <c r="AF29" s="404"/>
      <c r="AG29" s="404"/>
      <c r="AH29" s="404"/>
      <c r="AI29" s="405"/>
      <c r="AJ29" s="407">
        <f t="shared" si="8"/>
        <v>0</v>
      </c>
      <c r="AK29" s="425">
        <f t="shared" si="9"/>
        <v>3473.1</v>
      </c>
      <c r="AL29" s="410"/>
      <c r="AM29" s="416"/>
      <c r="AN29" s="411">
        <f t="shared" si="4"/>
        <v>0</v>
      </c>
      <c r="AO29" s="396">
        <f t="shared" si="5"/>
        <v>3473.1</v>
      </c>
    </row>
    <row r="30" spans="1:41" s="8" customFormat="1" ht="17.25" customHeight="1">
      <c r="A30" s="310" t="s">
        <v>150</v>
      </c>
      <c r="B30" s="447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22">
        <f>'hoaki dram18'!E15</f>
        <v>4646.7</v>
      </c>
      <c r="W30" s="404"/>
      <c r="X30" s="404"/>
      <c r="Y30" s="404"/>
      <c r="Z30" s="405"/>
      <c r="AA30" s="424"/>
      <c r="AB30" s="407">
        <f t="shared" si="7"/>
        <v>4646.7</v>
      </c>
      <c r="AC30" s="408"/>
      <c r="AD30" s="404"/>
      <c r="AE30" s="404"/>
      <c r="AF30" s="404"/>
      <c r="AG30" s="404"/>
      <c r="AH30" s="404"/>
      <c r="AI30" s="405"/>
      <c r="AJ30" s="407">
        <f t="shared" si="8"/>
        <v>0</v>
      </c>
      <c r="AK30" s="425">
        <f t="shared" si="9"/>
        <v>4646.7</v>
      </c>
      <c r="AL30" s="410"/>
      <c r="AM30" s="416"/>
      <c r="AN30" s="411">
        <f t="shared" si="4"/>
        <v>0</v>
      </c>
      <c r="AO30" s="396">
        <f t="shared" si="5"/>
        <v>4646.7</v>
      </c>
    </row>
    <row r="31" spans="1:41" s="8" customFormat="1" ht="17.25" customHeight="1">
      <c r="A31" s="310" t="s">
        <v>151</v>
      </c>
      <c r="B31" s="447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22">
        <f>'hoaki dram18'!E16</f>
        <v>3665.3</v>
      </c>
      <c r="W31" s="404"/>
      <c r="X31" s="404"/>
      <c r="Y31" s="404"/>
      <c r="Z31" s="405"/>
      <c r="AA31" s="424"/>
      <c r="AB31" s="407">
        <f t="shared" si="7"/>
        <v>3665.3</v>
      </c>
      <c r="AC31" s="408"/>
      <c r="AD31" s="404"/>
      <c r="AE31" s="404"/>
      <c r="AF31" s="404"/>
      <c r="AG31" s="404"/>
      <c r="AH31" s="404"/>
      <c r="AI31" s="405"/>
      <c r="AJ31" s="407">
        <f t="shared" si="8"/>
        <v>0</v>
      </c>
      <c r="AK31" s="425">
        <f t="shared" si="9"/>
        <v>3665.3</v>
      </c>
      <c r="AL31" s="410"/>
      <c r="AM31" s="416"/>
      <c r="AN31" s="411">
        <f t="shared" si="4"/>
        <v>0</v>
      </c>
      <c r="AO31" s="396">
        <f t="shared" si="5"/>
        <v>3665.3</v>
      </c>
    </row>
    <row r="32" spans="1:41" s="8" customFormat="1" ht="17.25" customHeight="1" thickBot="1">
      <c r="A32" s="310" t="s">
        <v>152</v>
      </c>
      <c r="B32" s="451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2">
        <f>'hoaki dram18'!E17</f>
        <v>3843.8</v>
      </c>
      <c r="W32" s="427"/>
      <c r="X32" s="427"/>
      <c r="Y32" s="427"/>
      <c r="Z32" s="428"/>
      <c r="AA32" s="414"/>
      <c r="AB32" s="407">
        <f t="shared" si="7"/>
        <v>3843.8</v>
      </c>
      <c r="AC32" s="415"/>
      <c r="AD32" s="427"/>
      <c r="AE32" s="427"/>
      <c r="AF32" s="427"/>
      <c r="AG32" s="427"/>
      <c r="AH32" s="427"/>
      <c r="AI32" s="428"/>
      <c r="AJ32" s="407">
        <f t="shared" si="8"/>
        <v>0</v>
      </c>
      <c r="AK32" s="425">
        <f t="shared" si="9"/>
        <v>3843.8</v>
      </c>
      <c r="AL32" s="410"/>
      <c r="AM32" s="416"/>
      <c r="AN32" s="411">
        <f t="shared" si="4"/>
        <v>0</v>
      </c>
      <c r="AO32" s="417">
        <f t="shared" si="5"/>
        <v>3843.8</v>
      </c>
    </row>
    <row r="33" spans="1:41" s="23" customFormat="1" ht="18.75" customHeight="1" thickBot="1">
      <c r="A33" s="311" t="s">
        <v>157</v>
      </c>
      <c r="B33" s="449">
        <f>SUM(B21:B32)</f>
        <v>0</v>
      </c>
      <c r="C33" s="359">
        <f aca="true" t="shared" si="10" ref="C33:AO33">SUM(C21:C32)</f>
        <v>0</v>
      </c>
      <c r="D33" s="359">
        <f t="shared" si="10"/>
        <v>0</v>
      </c>
      <c r="E33" s="359">
        <f t="shared" si="10"/>
        <v>0</v>
      </c>
      <c r="F33" s="359">
        <f t="shared" si="10"/>
        <v>0</v>
      </c>
      <c r="G33" s="359">
        <f t="shared" si="10"/>
        <v>0</v>
      </c>
      <c r="H33" s="359">
        <f t="shared" si="10"/>
        <v>0</v>
      </c>
      <c r="I33" s="359">
        <f t="shared" si="10"/>
        <v>0</v>
      </c>
      <c r="J33" s="359">
        <f t="shared" si="10"/>
        <v>0</v>
      </c>
      <c r="K33" s="359">
        <f t="shared" si="10"/>
        <v>0</v>
      </c>
      <c r="L33" s="359">
        <f t="shared" si="10"/>
        <v>0</v>
      </c>
      <c r="M33" s="359">
        <f t="shared" si="10"/>
        <v>0</v>
      </c>
      <c r="N33" s="359">
        <f t="shared" si="10"/>
        <v>0</v>
      </c>
      <c r="O33" s="359">
        <f t="shared" si="10"/>
        <v>0</v>
      </c>
      <c r="P33" s="359">
        <f t="shared" si="10"/>
        <v>0</v>
      </c>
      <c r="Q33" s="359">
        <f t="shared" si="10"/>
        <v>0</v>
      </c>
      <c r="R33" s="359">
        <f t="shared" si="10"/>
        <v>0</v>
      </c>
      <c r="S33" s="359">
        <f t="shared" si="10"/>
        <v>0</v>
      </c>
      <c r="T33" s="359">
        <f t="shared" si="10"/>
        <v>0</v>
      </c>
      <c r="U33" s="359">
        <f>SUM(U21:U32)</f>
        <v>0</v>
      </c>
      <c r="V33" s="359">
        <f>SUM(V21:V32)</f>
        <v>42236.600000000006</v>
      </c>
      <c r="W33" s="359">
        <f>SUM(W21:W32)</f>
        <v>0</v>
      </c>
      <c r="X33" s="359">
        <f t="shared" si="10"/>
        <v>0</v>
      </c>
      <c r="Y33" s="359">
        <f t="shared" si="10"/>
        <v>0</v>
      </c>
      <c r="Z33" s="359">
        <f t="shared" si="10"/>
        <v>0</v>
      </c>
      <c r="AA33" s="361">
        <f t="shared" si="10"/>
        <v>0</v>
      </c>
      <c r="AB33" s="419">
        <f t="shared" si="10"/>
        <v>42236.600000000006</v>
      </c>
      <c r="AC33" s="358">
        <f t="shared" si="10"/>
        <v>0</v>
      </c>
      <c r="AD33" s="359">
        <f t="shared" si="10"/>
        <v>0</v>
      </c>
      <c r="AE33" s="359">
        <f t="shared" si="10"/>
        <v>0</v>
      </c>
      <c r="AF33" s="359">
        <f t="shared" si="10"/>
        <v>0</v>
      </c>
      <c r="AG33" s="359">
        <f t="shared" si="10"/>
        <v>0</v>
      </c>
      <c r="AH33" s="359">
        <f t="shared" si="10"/>
        <v>0</v>
      </c>
      <c r="AI33" s="360">
        <f t="shared" si="10"/>
        <v>0</v>
      </c>
      <c r="AJ33" s="419">
        <f t="shared" si="10"/>
        <v>0</v>
      </c>
      <c r="AK33" s="358">
        <f t="shared" si="10"/>
        <v>42236.600000000006</v>
      </c>
      <c r="AL33" s="359">
        <f t="shared" si="10"/>
        <v>0</v>
      </c>
      <c r="AM33" s="421">
        <f t="shared" si="10"/>
        <v>0</v>
      </c>
      <c r="AN33" s="421">
        <f t="shared" si="10"/>
        <v>0</v>
      </c>
      <c r="AO33" s="419">
        <f t="shared" si="10"/>
        <v>42236.600000000006</v>
      </c>
    </row>
    <row r="34" spans="1:41" s="8" customFormat="1" ht="18.75" customHeight="1">
      <c r="A34" s="277" t="s">
        <v>23</v>
      </c>
      <c r="B34" s="450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>
        <f>'hoaki dram18'!E19</f>
        <v>10474.4</v>
      </c>
      <c r="W34" s="422">
        <f>'hoaki dram18'!D19</f>
        <v>467.7</v>
      </c>
      <c r="X34" s="422"/>
      <c r="Y34" s="422"/>
      <c r="Z34" s="423"/>
      <c r="AA34" s="424"/>
      <c r="AB34" s="407">
        <f t="shared" si="7"/>
        <v>10942.1</v>
      </c>
      <c r="AC34" s="408"/>
      <c r="AD34" s="422"/>
      <c r="AE34" s="422"/>
      <c r="AF34" s="422"/>
      <c r="AG34" s="422"/>
      <c r="AH34" s="422"/>
      <c r="AI34" s="423"/>
      <c r="AJ34" s="407">
        <f>SUM(AC34+AD34+AE34+AF34+AG34+AH34+AI34)</f>
        <v>0</v>
      </c>
      <c r="AK34" s="425">
        <f>SUM(AB34,AJ34)</f>
        <v>10942.1</v>
      </c>
      <c r="AL34" s="410"/>
      <c r="AM34" s="416"/>
      <c r="AN34" s="411">
        <f t="shared" si="4"/>
        <v>0</v>
      </c>
      <c r="AO34" s="426">
        <f t="shared" si="5"/>
        <v>10942.1</v>
      </c>
    </row>
    <row r="35" spans="1:41" s="8" customFormat="1" ht="18.75" customHeight="1">
      <c r="A35" s="312" t="s">
        <v>138</v>
      </c>
      <c r="B35" s="447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22">
        <f>'hoaki dram18'!E20</f>
        <v>5078.4</v>
      </c>
      <c r="W35" s="422">
        <f>'hoaki dram18'!D20</f>
        <v>194.9</v>
      </c>
      <c r="X35" s="404"/>
      <c r="Y35" s="404"/>
      <c r="Z35" s="405"/>
      <c r="AA35" s="424"/>
      <c r="AB35" s="407">
        <f t="shared" si="7"/>
        <v>5273.299999999999</v>
      </c>
      <c r="AC35" s="408"/>
      <c r="AD35" s="404"/>
      <c r="AE35" s="404"/>
      <c r="AF35" s="404"/>
      <c r="AG35" s="404"/>
      <c r="AH35" s="404"/>
      <c r="AI35" s="405"/>
      <c r="AJ35" s="407">
        <f>SUM(AC35+AD35+AE35+AF35+AG35+AH35+AI35)</f>
        <v>0</v>
      </c>
      <c r="AK35" s="425">
        <f>SUM(AB35,AJ35)</f>
        <v>5273.299999999999</v>
      </c>
      <c r="AL35" s="410"/>
      <c r="AM35" s="416"/>
      <c r="AN35" s="411">
        <f t="shared" si="4"/>
        <v>0</v>
      </c>
      <c r="AO35" s="396">
        <f t="shared" si="5"/>
        <v>5273.299999999999</v>
      </c>
    </row>
    <row r="36" spans="1:41" s="8" customFormat="1" ht="18.75" customHeight="1">
      <c r="A36" s="277" t="s">
        <v>139</v>
      </c>
      <c r="B36" s="447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22">
        <f>'hoaki dram18'!E21</f>
        <v>6937.6</v>
      </c>
      <c r="W36" s="404"/>
      <c r="X36" s="404"/>
      <c r="Y36" s="404"/>
      <c r="Z36" s="405"/>
      <c r="AA36" s="424"/>
      <c r="AB36" s="407">
        <f t="shared" si="7"/>
        <v>6937.6</v>
      </c>
      <c r="AC36" s="408"/>
      <c r="AD36" s="404"/>
      <c r="AE36" s="404"/>
      <c r="AF36" s="404"/>
      <c r="AG36" s="404"/>
      <c r="AH36" s="404"/>
      <c r="AI36" s="405"/>
      <c r="AJ36" s="407">
        <f>SUM(AC36+AD36+AE36+AF36+AG36+AH36+AI36)</f>
        <v>0</v>
      </c>
      <c r="AK36" s="425">
        <f>SUM(AB36,AJ36)</f>
        <v>6937.6</v>
      </c>
      <c r="AL36" s="410"/>
      <c r="AM36" s="416"/>
      <c r="AN36" s="411">
        <f t="shared" si="4"/>
        <v>0</v>
      </c>
      <c r="AO36" s="396">
        <f t="shared" si="5"/>
        <v>6937.6</v>
      </c>
    </row>
    <row r="37" spans="1:41" s="8" customFormat="1" ht="18.75" customHeight="1">
      <c r="A37" s="277" t="s">
        <v>102</v>
      </c>
      <c r="B37" s="447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22">
        <f>'hoaki dram18'!E22</f>
        <v>3754.9</v>
      </c>
      <c r="W37" s="404"/>
      <c r="X37" s="404"/>
      <c r="Y37" s="404"/>
      <c r="Z37" s="405"/>
      <c r="AA37" s="424"/>
      <c r="AB37" s="407">
        <f t="shared" si="7"/>
        <v>3754.9</v>
      </c>
      <c r="AC37" s="408"/>
      <c r="AD37" s="404"/>
      <c r="AE37" s="404"/>
      <c r="AF37" s="404"/>
      <c r="AG37" s="404"/>
      <c r="AH37" s="404"/>
      <c r="AI37" s="405"/>
      <c r="AJ37" s="407">
        <f>SUM(AC37+AD37+AE37+AF37+AG37+AH37+AI37)</f>
        <v>0</v>
      </c>
      <c r="AK37" s="425">
        <f>SUM(AB37,AJ37)</f>
        <v>3754.9</v>
      </c>
      <c r="AL37" s="410"/>
      <c r="AM37" s="416"/>
      <c r="AN37" s="411">
        <f t="shared" si="4"/>
        <v>0</v>
      </c>
      <c r="AO37" s="396">
        <f t="shared" si="5"/>
        <v>3754.9</v>
      </c>
    </row>
    <row r="38" spans="1:41" s="8" customFormat="1" ht="18.75" customHeight="1" thickBot="1">
      <c r="A38" s="313" t="s">
        <v>51</v>
      </c>
      <c r="B38" s="451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2">
        <f>'hoaki dram18'!E23</f>
        <v>2412.9</v>
      </c>
      <c r="W38" s="427"/>
      <c r="X38" s="427"/>
      <c r="Y38" s="427"/>
      <c r="Z38" s="428"/>
      <c r="AA38" s="414"/>
      <c r="AB38" s="407">
        <f t="shared" si="7"/>
        <v>2412.9</v>
      </c>
      <c r="AC38" s="415"/>
      <c r="AD38" s="427"/>
      <c r="AE38" s="427"/>
      <c r="AF38" s="427"/>
      <c r="AG38" s="427"/>
      <c r="AH38" s="427"/>
      <c r="AI38" s="428"/>
      <c r="AJ38" s="407">
        <f>SUM(AC38+AD38+AE38+AF38+AG38+AH38+AI38)</f>
        <v>0</v>
      </c>
      <c r="AK38" s="425">
        <f>SUM(AB38,AJ38)</f>
        <v>2412.9</v>
      </c>
      <c r="AL38" s="410"/>
      <c r="AM38" s="416"/>
      <c r="AN38" s="411">
        <f t="shared" si="4"/>
        <v>0</v>
      </c>
      <c r="AO38" s="417">
        <f t="shared" si="5"/>
        <v>2412.9</v>
      </c>
    </row>
    <row r="39" spans="1:41" s="23" customFormat="1" ht="19.5" customHeight="1" thickBot="1">
      <c r="A39" s="155" t="s">
        <v>158</v>
      </c>
      <c r="B39" s="449">
        <f>SUM(B34:B38)</f>
        <v>0</v>
      </c>
      <c r="C39" s="359">
        <f aca="true" t="shared" si="11" ref="C39:AO39">SUM(C34:C38)</f>
        <v>0</v>
      </c>
      <c r="D39" s="359">
        <f t="shared" si="11"/>
        <v>0</v>
      </c>
      <c r="E39" s="359">
        <f t="shared" si="11"/>
        <v>0</v>
      </c>
      <c r="F39" s="359">
        <f t="shared" si="11"/>
        <v>0</v>
      </c>
      <c r="G39" s="359">
        <f t="shared" si="11"/>
        <v>0</v>
      </c>
      <c r="H39" s="359">
        <f t="shared" si="11"/>
        <v>0</v>
      </c>
      <c r="I39" s="359">
        <f t="shared" si="11"/>
        <v>0</v>
      </c>
      <c r="J39" s="359">
        <f t="shared" si="11"/>
        <v>0</v>
      </c>
      <c r="K39" s="359">
        <f t="shared" si="11"/>
        <v>0</v>
      </c>
      <c r="L39" s="359">
        <f t="shared" si="11"/>
        <v>0</v>
      </c>
      <c r="M39" s="359">
        <f t="shared" si="11"/>
        <v>0</v>
      </c>
      <c r="N39" s="359">
        <f t="shared" si="11"/>
        <v>0</v>
      </c>
      <c r="O39" s="359">
        <f t="shared" si="11"/>
        <v>0</v>
      </c>
      <c r="P39" s="359">
        <f t="shared" si="11"/>
        <v>0</v>
      </c>
      <c r="Q39" s="359">
        <f t="shared" si="11"/>
        <v>0</v>
      </c>
      <c r="R39" s="359">
        <f t="shared" si="11"/>
        <v>0</v>
      </c>
      <c r="S39" s="359">
        <f t="shared" si="11"/>
        <v>0</v>
      </c>
      <c r="T39" s="359">
        <f t="shared" si="11"/>
        <v>0</v>
      </c>
      <c r="U39" s="359">
        <f>SUM(U34:U38)</f>
        <v>0</v>
      </c>
      <c r="V39" s="359">
        <f>SUM(V34:V38)</f>
        <v>28658.200000000004</v>
      </c>
      <c r="W39" s="359">
        <f>SUM(W34:W38)</f>
        <v>662.6</v>
      </c>
      <c r="X39" s="359">
        <f t="shared" si="11"/>
        <v>0</v>
      </c>
      <c r="Y39" s="359">
        <f t="shared" si="11"/>
        <v>0</v>
      </c>
      <c r="Z39" s="360">
        <f t="shared" si="11"/>
        <v>0</v>
      </c>
      <c r="AA39" s="361">
        <f t="shared" si="11"/>
        <v>0</v>
      </c>
      <c r="AB39" s="419">
        <f t="shared" si="11"/>
        <v>29320.800000000003</v>
      </c>
      <c r="AC39" s="429"/>
      <c r="AD39" s="359">
        <f t="shared" si="11"/>
        <v>0</v>
      </c>
      <c r="AE39" s="359">
        <f t="shared" si="11"/>
        <v>0</v>
      </c>
      <c r="AF39" s="359">
        <f t="shared" si="11"/>
        <v>0</v>
      </c>
      <c r="AG39" s="359">
        <f t="shared" si="11"/>
        <v>0</v>
      </c>
      <c r="AH39" s="359">
        <f t="shared" si="11"/>
        <v>0</v>
      </c>
      <c r="AI39" s="360">
        <f t="shared" si="11"/>
        <v>0</v>
      </c>
      <c r="AJ39" s="419">
        <f t="shared" si="11"/>
        <v>0</v>
      </c>
      <c r="AK39" s="358">
        <f t="shared" si="11"/>
        <v>29320.800000000003</v>
      </c>
      <c r="AL39" s="421">
        <f t="shared" si="11"/>
        <v>0</v>
      </c>
      <c r="AM39" s="421">
        <f t="shared" si="11"/>
        <v>0</v>
      </c>
      <c r="AN39" s="421">
        <f t="shared" si="11"/>
        <v>0</v>
      </c>
      <c r="AO39" s="419">
        <f t="shared" si="11"/>
        <v>29320.800000000003</v>
      </c>
    </row>
    <row r="40" spans="1:41" s="8" customFormat="1" ht="18" customHeight="1">
      <c r="A40" s="310" t="s">
        <v>159</v>
      </c>
      <c r="B40" s="450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>
        <f>'hoaki dram18'!E25</f>
        <v>4710.9</v>
      </c>
      <c r="W40" s="422"/>
      <c r="X40" s="422"/>
      <c r="Y40" s="422"/>
      <c r="Z40" s="423"/>
      <c r="AA40" s="424"/>
      <c r="AB40" s="407">
        <f t="shared" si="7"/>
        <v>4710.9</v>
      </c>
      <c r="AC40" s="408"/>
      <c r="AD40" s="422"/>
      <c r="AE40" s="422"/>
      <c r="AF40" s="422"/>
      <c r="AG40" s="422"/>
      <c r="AH40" s="423"/>
      <c r="AI40" s="423"/>
      <c r="AJ40" s="407">
        <f>SUM(AC40+AD40+AE40+AF40+AG40+AH40+AI40)</f>
        <v>0</v>
      </c>
      <c r="AK40" s="425">
        <f>SUM(AB40,AJ40)</f>
        <v>4710.9</v>
      </c>
      <c r="AL40" s="410"/>
      <c r="AM40" s="416"/>
      <c r="AN40" s="411">
        <f t="shared" si="4"/>
        <v>0</v>
      </c>
      <c r="AO40" s="426">
        <f t="shared" si="5"/>
        <v>4710.9</v>
      </c>
    </row>
    <row r="41" spans="1:41" s="8" customFormat="1" ht="18" customHeight="1">
      <c r="A41" s="277" t="s">
        <v>160</v>
      </c>
      <c r="B41" s="447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22">
        <f>'hoaki dram18'!E26</f>
        <v>3126.4</v>
      </c>
      <c r="W41" s="404"/>
      <c r="X41" s="404"/>
      <c r="Y41" s="404"/>
      <c r="Z41" s="405"/>
      <c r="AA41" s="424"/>
      <c r="AB41" s="407">
        <f t="shared" si="7"/>
        <v>3126.4</v>
      </c>
      <c r="AC41" s="408"/>
      <c r="AD41" s="404"/>
      <c r="AE41" s="404"/>
      <c r="AF41" s="404"/>
      <c r="AG41" s="404"/>
      <c r="AH41" s="404"/>
      <c r="AI41" s="405"/>
      <c r="AJ41" s="407">
        <f>SUM(AC41+AD41+AE41+AF41+AG41+AH41+AI41)</f>
        <v>0</v>
      </c>
      <c r="AK41" s="425">
        <f>SUM(AB41,AJ41)</f>
        <v>3126.4</v>
      </c>
      <c r="AL41" s="410"/>
      <c r="AM41" s="416"/>
      <c r="AN41" s="411">
        <f t="shared" si="4"/>
        <v>0</v>
      </c>
      <c r="AO41" s="396">
        <f t="shared" si="5"/>
        <v>3126.4</v>
      </c>
    </row>
    <row r="42" spans="1:41" s="8" customFormat="1" ht="18" customHeight="1">
      <c r="A42" s="277" t="s">
        <v>161</v>
      </c>
      <c r="B42" s="447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22">
        <f>'hoaki dram18'!E27</f>
        <v>5671.8</v>
      </c>
      <c r="W42" s="404"/>
      <c r="X42" s="404"/>
      <c r="Y42" s="404"/>
      <c r="Z42" s="405"/>
      <c r="AA42" s="424"/>
      <c r="AB42" s="407">
        <f t="shared" si="7"/>
        <v>5671.8</v>
      </c>
      <c r="AC42" s="408"/>
      <c r="AD42" s="404"/>
      <c r="AE42" s="404"/>
      <c r="AF42" s="404"/>
      <c r="AG42" s="404"/>
      <c r="AH42" s="405"/>
      <c r="AI42" s="405"/>
      <c r="AJ42" s="407">
        <f>SUM(AC42+AD42+AE42+AF42+AG42+AH42+AI42)</f>
        <v>0</v>
      </c>
      <c r="AK42" s="425">
        <f>SUM(AB42,AJ42)</f>
        <v>5671.8</v>
      </c>
      <c r="AL42" s="410"/>
      <c r="AM42" s="416"/>
      <c r="AN42" s="411">
        <f t="shared" si="4"/>
        <v>0</v>
      </c>
      <c r="AO42" s="396">
        <f t="shared" si="5"/>
        <v>5671.8</v>
      </c>
    </row>
    <row r="43" spans="1:41" s="8" customFormat="1" ht="18" customHeight="1">
      <c r="A43" s="277" t="s">
        <v>162</v>
      </c>
      <c r="B43" s="447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22">
        <f>'hoaki dram18'!E28</f>
        <v>314</v>
      </c>
      <c r="W43" s="404"/>
      <c r="X43" s="404"/>
      <c r="Y43" s="404"/>
      <c r="Z43" s="405"/>
      <c r="AA43" s="424"/>
      <c r="AB43" s="407">
        <f t="shared" si="7"/>
        <v>314</v>
      </c>
      <c r="AC43" s="408"/>
      <c r="AD43" s="404"/>
      <c r="AE43" s="404"/>
      <c r="AF43" s="404"/>
      <c r="AG43" s="404"/>
      <c r="AH43" s="405"/>
      <c r="AI43" s="405"/>
      <c r="AJ43" s="407">
        <f>SUM(AC43+AD43+AE43+AF43+AG43+AH43+AI43)</f>
        <v>0</v>
      </c>
      <c r="AK43" s="425">
        <f>SUM(AB43,AJ43)</f>
        <v>314</v>
      </c>
      <c r="AL43" s="410"/>
      <c r="AM43" s="416"/>
      <c r="AN43" s="411">
        <f t="shared" si="4"/>
        <v>0</v>
      </c>
      <c r="AO43" s="396">
        <f t="shared" si="5"/>
        <v>314</v>
      </c>
    </row>
    <row r="44" spans="1:41" s="8" customFormat="1" ht="18" customHeight="1" thickBot="1">
      <c r="A44" s="277" t="s">
        <v>163</v>
      </c>
      <c r="B44" s="451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12">
        <f>'hoaki dram18'!E29</f>
        <v>4688.2</v>
      </c>
      <c r="W44" s="427"/>
      <c r="X44" s="427"/>
      <c r="Y44" s="427"/>
      <c r="Z44" s="428"/>
      <c r="AA44" s="414"/>
      <c r="AB44" s="430">
        <f t="shared" si="7"/>
        <v>4688.2</v>
      </c>
      <c r="AC44" s="415"/>
      <c r="AD44" s="427"/>
      <c r="AE44" s="427"/>
      <c r="AF44" s="427"/>
      <c r="AG44" s="427"/>
      <c r="AH44" s="428"/>
      <c r="AI44" s="428"/>
      <c r="AJ44" s="407">
        <f>SUM(AC44+AD44+AE44+AF44+AG44+AH44+AI44)</f>
        <v>0</v>
      </c>
      <c r="AK44" s="431">
        <f>SUM(AB44,AJ44)</f>
        <v>4688.2</v>
      </c>
      <c r="AL44" s="410"/>
      <c r="AM44" s="416"/>
      <c r="AN44" s="411">
        <f t="shared" si="4"/>
        <v>0</v>
      </c>
      <c r="AO44" s="417">
        <f t="shared" si="5"/>
        <v>4688.2</v>
      </c>
    </row>
    <row r="45" spans="1:41" s="23" customFormat="1" ht="22.5" customHeight="1" thickBot="1">
      <c r="A45" s="314" t="s">
        <v>128</v>
      </c>
      <c r="B45" s="452">
        <f>B33+B39+B40+B41+B42+B43+B44</f>
        <v>0</v>
      </c>
      <c r="C45" s="432">
        <f aca="true" t="shared" si="12" ref="C45:AL45">C33+C39+C40+C41+C42+C43+C44</f>
        <v>0</v>
      </c>
      <c r="D45" s="432">
        <f t="shared" si="12"/>
        <v>0</v>
      </c>
      <c r="E45" s="432">
        <f t="shared" si="12"/>
        <v>0</v>
      </c>
      <c r="F45" s="432">
        <f t="shared" si="12"/>
        <v>0</v>
      </c>
      <c r="G45" s="432">
        <f t="shared" si="12"/>
        <v>0</v>
      </c>
      <c r="H45" s="432">
        <f t="shared" si="12"/>
        <v>0</v>
      </c>
      <c r="I45" s="432">
        <f t="shared" si="12"/>
        <v>0</v>
      </c>
      <c r="J45" s="432">
        <f t="shared" si="12"/>
        <v>0</v>
      </c>
      <c r="K45" s="432">
        <f t="shared" si="12"/>
        <v>0</v>
      </c>
      <c r="L45" s="432">
        <f t="shared" si="12"/>
        <v>0</v>
      </c>
      <c r="M45" s="432">
        <f t="shared" si="12"/>
        <v>0</v>
      </c>
      <c r="N45" s="432">
        <f t="shared" si="12"/>
        <v>0</v>
      </c>
      <c r="O45" s="432">
        <f t="shared" si="12"/>
        <v>0</v>
      </c>
      <c r="P45" s="432">
        <f t="shared" si="12"/>
        <v>0</v>
      </c>
      <c r="Q45" s="432">
        <f t="shared" si="12"/>
        <v>0</v>
      </c>
      <c r="R45" s="432">
        <f t="shared" si="12"/>
        <v>0</v>
      </c>
      <c r="S45" s="432">
        <f t="shared" si="12"/>
        <v>0</v>
      </c>
      <c r="T45" s="432">
        <f t="shared" si="12"/>
        <v>0</v>
      </c>
      <c r="U45" s="432">
        <f t="shared" si="12"/>
        <v>0</v>
      </c>
      <c r="V45" s="432">
        <f t="shared" si="12"/>
        <v>89406.1</v>
      </c>
      <c r="W45" s="432">
        <f t="shared" si="12"/>
        <v>662.6</v>
      </c>
      <c r="X45" s="432">
        <f t="shared" si="12"/>
        <v>0</v>
      </c>
      <c r="Y45" s="432">
        <f t="shared" si="12"/>
        <v>0</v>
      </c>
      <c r="Z45" s="433">
        <f t="shared" si="12"/>
        <v>0</v>
      </c>
      <c r="AA45" s="434">
        <f t="shared" si="12"/>
        <v>0</v>
      </c>
      <c r="AB45" s="435">
        <f t="shared" si="12"/>
        <v>90068.7</v>
      </c>
      <c r="AC45" s="436"/>
      <c r="AD45" s="432">
        <f t="shared" si="12"/>
        <v>0</v>
      </c>
      <c r="AE45" s="432">
        <f t="shared" si="12"/>
        <v>0</v>
      </c>
      <c r="AF45" s="432">
        <f t="shared" si="12"/>
        <v>0</v>
      </c>
      <c r="AG45" s="432">
        <f t="shared" si="12"/>
        <v>0</v>
      </c>
      <c r="AH45" s="432">
        <f t="shared" si="12"/>
        <v>0</v>
      </c>
      <c r="AI45" s="433">
        <f t="shared" si="12"/>
        <v>0</v>
      </c>
      <c r="AJ45" s="435">
        <f t="shared" si="12"/>
        <v>0</v>
      </c>
      <c r="AK45" s="436">
        <f t="shared" si="12"/>
        <v>90068.7</v>
      </c>
      <c r="AL45" s="432">
        <f t="shared" si="12"/>
        <v>0</v>
      </c>
      <c r="AM45" s="437">
        <f>AM33+AM39+AM40+AM41+AM42+AM43+AM44</f>
        <v>0</v>
      </c>
      <c r="AN45" s="437">
        <f>AN33+AN39+AN40+AN41+AN42+AN43+AN44</f>
        <v>0</v>
      </c>
      <c r="AO45" s="419">
        <f>AO33+AO39+AO40+AO41+AO42+AO43+AO44</f>
        <v>90068.7</v>
      </c>
    </row>
    <row r="46" spans="1:41" s="23" customFormat="1" ht="21.75" customHeight="1" thickBot="1">
      <c r="A46" s="315" t="s">
        <v>21</v>
      </c>
      <c r="B46" s="453">
        <f>B45+B20</f>
        <v>39116.8</v>
      </c>
      <c r="C46" s="438">
        <f aca="true" t="shared" si="13" ref="C46:AK46">C45+C20</f>
        <v>380</v>
      </c>
      <c r="D46" s="438">
        <f t="shared" si="13"/>
        <v>1820.3</v>
      </c>
      <c r="E46" s="438">
        <f t="shared" si="13"/>
        <v>103</v>
      </c>
      <c r="F46" s="438">
        <f t="shared" si="13"/>
        <v>555.1</v>
      </c>
      <c r="G46" s="438">
        <f t="shared" si="13"/>
        <v>0</v>
      </c>
      <c r="H46" s="438">
        <f t="shared" si="13"/>
        <v>22.8</v>
      </c>
      <c r="I46" s="438">
        <f t="shared" si="13"/>
        <v>0</v>
      </c>
      <c r="J46" s="438">
        <f t="shared" si="13"/>
        <v>130.4</v>
      </c>
      <c r="K46" s="438">
        <f t="shared" si="13"/>
        <v>0</v>
      </c>
      <c r="L46" s="438">
        <f t="shared" si="13"/>
        <v>780</v>
      </c>
      <c r="M46" s="438">
        <f t="shared" si="13"/>
        <v>509.6</v>
      </c>
      <c r="N46" s="438">
        <f t="shared" si="13"/>
        <v>1036.2</v>
      </c>
      <c r="O46" s="438">
        <f t="shared" si="13"/>
        <v>0</v>
      </c>
      <c r="P46" s="439">
        <f t="shared" si="13"/>
        <v>146</v>
      </c>
      <c r="Q46" s="438">
        <f t="shared" si="13"/>
        <v>976.2</v>
      </c>
      <c r="R46" s="438">
        <f t="shared" si="13"/>
        <v>0</v>
      </c>
      <c r="S46" s="438">
        <f t="shared" si="13"/>
        <v>10727.1</v>
      </c>
      <c r="T46" s="438">
        <f t="shared" si="13"/>
        <v>148.4</v>
      </c>
      <c r="U46" s="438">
        <f t="shared" si="13"/>
        <v>250</v>
      </c>
      <c r="V46" s="438">
        <f t="shared" si="13"/>
        <v>89406.1</v>
      </c>
      <c r="W46" s="438">
        <f t="shared" si="13"/>
        <v>662.6</v>
      </c>
      <c r="X46" s="438">
        <f t="shared" si="13"/>
        <v>784.4</v>
      </c>
      <c r="Y46" s="439">
        <f t="shared" si="13"/>
        <v>400</v>
      </c>
      <c r="Z46" s="440">
        <f t="shared" si="13"/>
        <v>42.8</v>
      </c>
      <c r="AA46" s="441">
        <f t="shared" si="13"/>
        <v>0</v>
      </c>
      <c r="AB46" s="355">
        <f t="shared" si="13"/>
        <v>147997.8</v>
      </c>
      <c r="AC46" s="351">
        <f t="shared" si="13"/>
        <v>0</v>
      </c>
      <c r="AD46" s="438">
        <f t="shared" si="13"/>
        <v>185</v>
      </c>
      <c r="AE46" s="438">
        <f>AE45+AE20</f>
        <v>0</v>
      </c>
      <c r="AF46" s="438">
        <f t="shared" si="13"/>
        <v>0</v>
      </c>
      <c r="AG46" s="438">
        <f t="shared" si="13"/>
        <v>1475</v>
      </c>
      <c r="AH46" s="438">
        <f t="shared" si="13"/>
        <v>0</v>
      </c>
      <c r="AI46" s="440">
        <f t="shared" si="13"/>
        <v>930</v>
      </c>
      <c r="AJ46" s="442">
        <f t="shared" si="13"/>
        <v>2590</v>
      </c>
      <c r="AK46" s="352">
        <f t="shared" si="13"/>
        <v>150587.8</v>
      </c>
      <c r="AL46" s="443">
        <f>AL45+AL20</f>
        <v>0</v>
      </c>
      <c r="AM46" s="443">
        <f>AM45+AM20</f>
        <v>-3929.6</v>
      </c>
      <c r="AN46" s="443">
        <f>AN45+AN20</f>
        <v>-3929.6</v>
      </c>
      <c r="AO46" s="444">
        <f>AO45+AO20</f>
        <v>146658.2</v>
      </c>
    </row>
    <row r="47" spans="2:74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9" ht="12.75">
      <c r="T49" s="15" t="s">
        <v>114</v>
      </c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5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8" sqref="AN8"/>
    </sheetView>
  </sheetViews>
  <sheetFormatPr defaultColWidth="9.140625" defaultRowHeight="12.75"/>
  <cols>
    <col min="1" max="1" width="28.7109375" style="21" customWidth="1"/>
    <col min="2" max="4" width="7.28125" style="21" customWidth="1"/>
    <col min="5" max="6" width="9.28125" style="21" customWidth="1"/>
    <col min="7" max="7" width="9.7109375" style="21" customWidth="1"/>
    <col min="8" max="8" width="11.421875" style="21" customWidth="1"/>
    <col min="9" max="9" width="9.421875" style="21" customWidth="1"/>
    <col min="10" max="10" width="6.140625" style="21" customWidth="1"/>
    <col min="11" max="11" width="8.57421875" style="21" customWidth="1"/>
    <col min="12" max="12" width="7.57421875" style="21" customWidth="1"/>
    <col min="13" max="13" width="7.8515625" style="21" customWidth="1"/>
    <col min="14" max="14" width="8.57421875" style="21" hidden="1" customWidth="1"/>
    <col min="15" max="15" width="5.8515625" style="21" customWidth="1"/>
    <col min="16" max="16" width="8.57421875" style="21" hidden="1" customWidth="1"/>
    <col min="17" max="17" width="6.7109375" style="21" customWidth="1"/>
    <col min="18" max="18" width="8.57421875" style="21" hidden="1" customWidth="1"/>
    <col min="19" max="19" width="6.00390625" style="21" customWidth="1"/>
    <col min="20" max="20" width="7.7109375" style="21" customWidth="1"/>
    <col min="21" max="21" width="8.57421875" style="21" customWidth="1"/>
    <col min="22" max="22" width="8.57421875" style="21" hidden="1" customWidth="1"/>
    <col min="23" max="23" width="6.00390625" style="21" customWidth="1"/>
    <col min="24" max="24" width="8.57421875" style="21" customWidth="1"/>
    <col min="25" max="25" width="8.57421875" style="21" hidden="1" customWidth="1"/>
    <col min="26" max="26" width="9.57421875" style="21" customWidth="1"/>
    <col min="27" max="27" width="7.7109375" style="21" customWidth="1"/>
    <col min="28" max="28" width="7.00390625" style="21" customWidth="1"/>
    <col min="29" max="29" width="9.28125" style="21" customWidth="1"/>
    <col min="30" max="30" width="8.57421875" style="21" hidden="1" customWidth="1"/>
    <col min="31" max="31" width="7.140625" style="21" customWidth="1"/>
    <col min="32" max="32" width="6.7109375" style="21" customWidth="1"/>
    <col min="33" max="33" width="7.8515625" style="21" customWidth="1"/>
    <col min="34" max="34" width="8.57421875" style="21" hidden="1" customWidth="1"/>
    <col min="35" max="35" width="13.140625" style="21" customWidth="1"/>
    <col min="36" max="36" width="8.57421875" style="21" hidden="1" customWidth="1"/>
    <col min="37" max="37" width="7.28125" style="21" customWidth="1"/>
    <col min="38" max="39" width="8.57421875" style="21" hidden="1" customWidth="1"/>
    <col min="40" max="40" width="8.57421875" style="21" customWidth="1"/>
    <col min="41" max="41" width="8.57421875" style="21" hidden="1" customWidth="1"/>
    <col min="42" max="42" width="8.57421875" style="21" customWidth="1"/>
    <col min="43" max="43" width="11.00390625" style="21" customWidth="1"/>
    <col min="44" max="44" width="12.00390625" style="21" customWidth="1"/>
    <col min="45" max="45" width="9.421875" style="44" customWidth="1"/>
    <col min="46" max="46" width="9.421875" style="44" hidden="1" customWidth="1"/>
    <col min="47" max="47" width="8.57421875" style="44" customWidth="1"/>
    <col min="48" max="48" width="7.57421875" style="44" customWidth="1"/>
    <col min="49" max="49" width="8.140625" style="44" customWidth="1"/>
    <col min="50" max="52" width="9.421875" style="44" hidden="1" customWidth="1"/>
    <col min="53" max="53" width="7.140625" style="44" customWidth="1"/>
    <col min="54" max="57" width="9.421875" style="44" hidden="1" customWidth="1"/>
    <col min="58" max="58" width="8.140625" style="44" customWidth="1"/>
    <col min="59" max="59" width="9.421875" style="44" hidden="1" customWidth="1"/>
    <col min="60" max="60" width="9.421875" style="44" customWidth="1"/>
    <col min="61" max="64" width="9.421875" style="44" hidden="1" customWidth="1"/>
    <col min="65" max="65" width="10.7109375" style="44" customWidth="1"/>
    <col min="66" max="66" width="9.421875" style="44" customWidth="1"/>
    <col min="67" max="68" width="9.421875" style="44" hidden="1" customWidth="1"/>
    <col min="69" max="69" width="9.421875" style="44" customWidth="1"/>
    <col min="70" max="70" width="10.421875" style="44" customWidth="1"/>
    <col min="71" max="71" width="9.421875" style="44" hidden="1" customWidth="1"/>
    <col min="72" max="72" width="9.421875" style="44" customWidth="1"/>
    <col min="73" max="76" width="9.421875" style="44" hidden="1" customWidth="1"/>
    <col min="77" max="77" width="7.140625" style="44" customWidth="1"/>
    <col min="78" max="78" width="9.00390625" style="44" customWidth="1"/>
    <col min="79" max="79" width="11.421875" style="44" customWidth="1"/>
    <col min="80" max="80" width="9.421875" style="21" hidden="1" customWidth="1"/>
    <col min="81" max="81" width="8.421875" style="21" customWidth="1"/>
    <col min="82" max="82" width="9.421875" style="21" customWidth="1"/>
    <col min="83" max="83" width="12.8515625" style="21" customWidth="1"/>
    <col min="84" max="84" width="9.8515625" style="21" customWidth="1"/>
    <col min="85" max="16384" width="9.140625" style="21" customWidth="1"/>
  </cols>
  <sheetData>
    <row r="1" spans="1:82" s="5" customFormat="1" ht="18" customHeight="1">
      <c r="A1" s="550" t="s">
        <v>209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C1" s="8"/>
      <c r="CD1" s="8"/>
    </row>
    <row r="2" spans="1:82" s="5" customFormat="1" ht="9" customHeight="1" thickBo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C2" s="8"/>
      <c r="CD2" s="8"/>
    </row>
    <row r="3" spans="1:83" s="5" customFormat="1" ht="15.75" customHeight="1" thickBot="1">
      <c r="A3" s="631"/>
      <c r="B3" s="633" t="s">
        <v>193</v>
      </c>
      <c r="C3" s="634"/>
      <c r="D3" s="634"/>
      <c r="E3" s="634"/>
      <c r="F3" s="634"/>
      <c r="G3" s="634"/>
      <c r="H3" s="635"/>
      <c r="I3" s="636" t="s">
        <v>124</v>
      </c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7"/>
      <c r="AS3" s="628" t="s">
        <v>206</v>
      </c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  <c r="BE3" s="629"/>
      <c r="BF3" s="629"/>
      <c r="BG3" s="629"/>
      <c r="BH3" s="629"/>
      <c r="BI3" s="629"/>
      <c r="BJ3" s="629"/>
      <c r="BK3" s="629"/>
      <c r="BL3" s="629"/>
      <c r="BM3" s="629"/>
      <c r="BN3" s="629"/>
      <c r="BO3" s="629"/>
      <c r="BP3" s="629"/>
      <c r="BQ3" s="629"/>
      <c r="BR3" s="629"/>
      <c r="BS3" s="629"/>
      <c r="BT3" s="629"/>
      <c r="BU3" s="629"/>
      <c r="BV3" s="629"/>
      <c r="BW3" s="629"/>
      <c r="BX3" s="629"/>
      <c r="BY3" s="629"/>
      <c r="BZ3" s="629"/>
      <c r="CA3" s="630"/>
      <c r="CB3" s="638"/>
      <c r="CC3" s="639"/>
      <c r="CD3" s="639"/>
      <c r="CE3" s="626" t="s">
        <v>197</v>
      </c>
    </row>
    <row r="4" spans="1:83" s="6" customFormat="1" ht="36.75" customHeight="1" thickBot="1">
      <c r="A4" s="632"/>
      <c r="B4" s="32" t="s">
        <v>121</v>
      </c>
      <c r="C4" s="33" t="s">
        <v>5</v>
      </c>
      <c r="D4" s="33" t="s">
        <v>6</v>
      </c>
      <c r="E4" s="33" t="s">
        <v>13</v>
      </c>
      <c r="F4" s="33" t="s">
        <v>56</v>
      </c>
      <c r="G4" s="33" t="s">
        <v>85</v>
      </c>
      <c r="H4" s="85" t="s">
        <v>122</v>
      </c>
      <c r="I4" s="27">
        <v>4111</v>
      </c>
      <c r="J4" s="27">
        <v>4112</v>
      </c>
      <c r="K4" s="28">
        <v>4212</v>
      </c>
      <c r="L4" s="28">
        <v>4213</v>
      </c>
      <c r="M4" s="28">
        <v>4214</v>
      </c>
      <c r="N4" s="28">
        <v>4215</v>
      </c>
      <c r="O4" s="28">
        <v>4221</v>
      </c>
      <c r="P4" s="28">
        <v>4222</v>
      </c>
      <c r="Q4" s="28">
        <v>4232</v>
      </c>
      <c r="R4" s="28">
        <v>4234</v>
      </c>
      <c r="S4" s="28">
        <v>4237</v>
      </c>
      <c r="T4" s="28">
        <v>4239</v>
      </c>
      <c r="U4" s="28">
        <v>4241</v>
      </c>
      <c r="V4" s="28">
        <v>4251</v>
      </c>
      <c r="W4" s="28">
        <v>4252</v>
      </c>
      <c r="X4" s="28">
        <v>4261</v>
      </c>
      <c r="Y4" s="28">
        <v>4262</v>
      </c>
      <c r="Z4" s="28" t="s">
        <v>54</v>
      </c>
      <c r="AA4" s="28" t="s">
        <v>55</v>
      </c>
      <c r="AB4" s="28" t="s">
        <v>2</v>
      </c>
      <c r="AC4" s="28">
        <v>4511</v>
      </c>
      <c r="AD4" s="28">
        <v>4637</v>
      </c>
      <c r="AE4" s="28" t="s">
        <v>57</v>
      </c>
      <c r="AF4" s="28">
        <v>4819</v>
      </c>
      <c r="AG4" s="63" t="s">
        <v>63</v>
      </c>
      <c r="AH4" s="63">
        <v>4891</v>
      </c>
      <c r="AI4" s="65" t="s">
        <v>133</v>
      </c>
      <c r="AJ4" s="183">
        <v>5111</v>
      </c>
      <c r="AK4" s="289" t="s">
        <v>85</v>
      </c>
      <c r="AL4" s="64" t="s">
        <v>59</v>
      </c>
      <c r="AM4" s="30" t="s">
        <v>60</v>
      </c>
      <c r="AN4" s="30" t="s">
        <v>53</v>
      </c>
      <c r="AO4" s="61" t="s">
        <v>61</v>
      </c>
      <c r="AP4" s="61" t="s">
        <v>62</v>
      </c>
      <c r="AQ4" s="66" t="s">
        <v>134</v>
      </c>
      <c r="AR4" s="31" t="s">
        <v>21</v>
      </c>
      <c r="AS4" s="27">
        <v>4111</v>
      </c>
      <c r="AT4" s="27">
        <v>4112</v>
      </c>
      <c r="AU4" s="28">
        <v>4212</v>
      </c>
      <c r="AV4" s="28">
        <v>4213</v>
      </c>
      <c r="AW4" s="28">
        <v>4214</v>
      </c>
      <c r="AX4" s="28">
        <v>4215</v>
      </c>
      <c r="AY4" s="28">
        <v>4221</v>
      </c>
      <c r="AZ4" s="28">
        <v>4222</v>
      </c>
      <c r="BA4" s="28">
        <v>4232</v>
      </c>
      <c r="BB4" s="28">
        <v>4234</v>
      </c>
      <c r="BC4" s="28">
        <v>4237</v>
      </c>
      <c r="BD4" s="28">
        <v>4239</v>
      </c>
      <c r="BE4" s="28">
        <v>4241</v>
      </c>
      <c r="BF4" s="28">
        <v>4251</v>
      </c>
      <c r="BG4" s="28">
        <v>4252</v>
      </c>
      <c r="BH4" s="28">
        <v>4261</v>
      </c>
      <c r="BI4" s="28">
        <v>4262</v>
      </c>
      <c r="BJ4" s="28" t="s">
        <v>54</v>
      </c>
      <c r="BK4" s="28" t="s">
        <v>55</v>
      </c>
      <c r="BL4" s="28" t="s">
        <v>2</v>
      </c>
      <c r="BM4" s="28">
        <v>4511</v>
      </c>
      <c r="BN4" s="28">
        <v>4637</v>
      </c>
      <c r="BO4" s="28" t="s">
        <v>57</v>
      </c>
      <c r="BP4" s="28">
        <v>4819</v>
      </c>
      <c r="BQ4" s="63" t="s">
        <v>63</v>
      </c>
      <c r="BR4" s="299" t="s">
        <v>125</v>
      </c>
      <c r="BS4" s="290">
        <v>5111</v>
      </c>
      <c r="BT4" s="64" t="s">
        <v>85</v>
      </c>
      <c r="BU4" s="30" t="s">
        <v>59</v>
      </c>
      <c r="BV4" s="30" t="s">
        <v>60</v>
      </c>
      <c r="BW4" s="30" t="s">
        <v>53</v>
      </c>
      <c r="BX4" s="61" t="s">
        <v>61</v>
      </c>
      <c r="BY4" s="61" t="s">
        <v>62</v>
      </c>
      <c r="BZ4" s="305" t="s">
        <v>126</v>
      </c>
      <c r="CA4" s="264" t="s">
        <v>127</v>
      </c>
      <c r="CB4" s="306">
        <v>8111</v>
      </c>
      <c r="CC4" s="157">
        <v>8411</v>
      </c>
      <c r="CD4" s="291" t="s">
        <v>196</v>
      </c>
      <c r="CE4" s="627"/>
    </row>
    <row r="5" spans="1:83" s="6" customFormat="1" ht="15" customHeight="1">
      <c r="A5" s="310" t="s">
        <v>129</v>
      </c>
      <c r="B5" s="454">
        <v>380.5</v>
      </c>
      <c r="C5" s="455">
        <v>10.1</v>
      </c>
      <c r="D5" s="455">
        <v>112.3</v>
      </c>
      <c r="E5" s="455"/>
      <c r="F5" s="455"/>
      <c r="G5" s="455"/>
      <c r="H5" s="270">
        <f>B5+C5+D5+E5+F5+G5</f>
        <v>502.90000000000003</v>
      </c>
      <c r="I5" s="267">
        <v>17923.2</v>
      </c>
      <c r="J5" s="73">
        <v>380</v>
      </c>
      <c r="K5" s="73">
        <v>2504.4</v>
      </c>
      <c r="L5" s="73">
        <v>29.9</v>
      </c>
      <c r="M5" s="73">
        <v>660</v>
      </c>
      <c r="N5" s="73"/>
      <c r="O5" s="73">
        <v>22.8</v>
      </c>
      <c r="P5" s="73"/>
      <c r="Q5" s="73">
        <v>66</v>
      </c>
      <c r="R5" s="73"/>
      <c r="S5" s="73">
        <v>780</v>
      </c>
      <c r="T5" s="73">
        <v>9.6</v>
      </c>
      <c r="U5" s="73">
        <v>786.2</v>
      </c>
      <c r="V5" s="73"/>
      <c r="W5" s="73">
        <v>146</v>
      </c>
      <c r="X5" s="73">
        <v>879.2</v>
      </c>
      <c r="Y5" s="73"/>
      <c r="Z5" s="73">
        <v>2312.8</v>
      </c>
      <c r="AA5" s="73">
        <v>148.4</v>
      </c>
      <c r="AB5" s="73"/>
      <c r="AC5" s="73"/>
      <c r="AD5" s="73"/>
      <c r="AE5" s="73"/>
      <c r="AF5" s="73"/>
      <c r="AG5" s="159"/>
      <c r="AH5" s="72"/>
      <c r="AI5" s="76">
        <f aca="true" t="shared" si="0" ref="AI5:AI19">I5+J5+K5+L5+M5+N5+O5+P5+Q5+R5+S5+T5+U5+V5+W5+X5+Y5+Z5+AA5+AB5+AC5+AD5+AE5+AF5+AG5+AH5</f>
        <v>26648.500000000004</v>
      </c>
      <c r="AJ5" s="76"/>
      <c r="AK5" s="72"/>
      <c r="AL5" s="72"/>
      <c r="AM5" s="72"/>
      <c r="AN5" s="72">
        <v>990</v>
      </c>
      <c r="AO5" s="73"/>
      <c r="AP5" s="73"/>
      <c r="AQ5" s="78">
        <f>AK5+AL5+AM5+AN5+AO5+AP5+AJ5</f>
        <v>990</v>
      </c>
      <c r="AR5" s="78">
        <f>AI5+AQ5</f>
        <v>27638.500000000004</v>
      </c>
      <c r="AS5" s="78">
        <f>I5-'2018dram'!B5</f>
        <v>-240.79999999999927</v>
      </c>
      <c r="AT5" s="78">
        <f>J5-'2018dram'!C5</f>
        <v>0</v>
      </c>
      <c r="AU5" s="78">
        <f>K5-'2018dram'!D5-B5</f>
        <v>538.2</v>
      </c>
      <c r="AV5" s="78">
        <f>L5-'2018dram'!E5-C5</f>
        <v>9.799999999999999</v>
      </c>
      <c r="AW5" s="78">
        <f>M5-'2018dram'!F5-D5</f>
        <v>204.09999999999997</v>
      </c>
      <c r="AX5" s="78">
        <f>N5-'2018dram'!G5</f>
        <v>0</v>
      </c>
      <c r="AY5" s="78">
        <f>O5-'2018dram'!H5</f>
        <v>0</v>
      </c>
      <c r="AZ5" s="78">
        <f>P5-'2018dram'!I5</f>
        <v>0</v>
      </c>
      <c r="BA5" s="78">
        <f>Q5-'2018dram'!J5</f>
        <v>22</v>
      </c>
      <c r="BB5" s="78">
        <f>R5-'2018dram'!K5</f>
        <v>0</v>
      </c>
      <c r="BC5" s="78">
        <f>S5-'2018dram'!L5</f>
        <v>0</v>
      </c>
      <c r="BD5" s="78">
        <f>T5-'2018dram'!M5</f>
        <v>0</v>
      </c>
      <c r="BE5" s="78">
        <f>U5-'2018dram'!N5</f>
        <v>0</v>
      </c>
      <c r="BF5" s="78">
        <f>V5-'2018dram'!O5</f>
        <v>0</v>
      </c>
      <c r="BG5" s="78">
        <f>W5-'2018dram'!P5</f>
        <v>0</v>
      </c>
      <c r="BH5" s="78">
        <f>X5-'2018dram'!Q5</f>
        <v>8</v>
      </c>
      <c r="BI5" s="78">
        <f>Y5-'2018dram'!R5</f>
        <v>0</v>
      </c>
      <c r="BJ5" s="78">
        <f>Z5-'2018dram'!S5</f>
        <v>0</v>
      </c>
      <c r="BK5" s="78">
        <f>AA5-'2018dram'!T5</f>
        <v>0</v>
      </c>
      <c r="BL5" s="78">
        <f>AB5-'2018dram'!U5</f>
        <v>0</v>
      </c>
      <c r="BM5" s="78">
        <f>AC5-'2018dram'!V5-F5</f>
        <v>0</v>
      </c>
      <c r="BN5" s="78">
        <f>AD5-'2018dram'!W5</f>
        <v>0</v>
      </c>
      <c r="BO5" s="78">
        <f>AE5-'2018dram'!X5</f>
        <v>0</v>
      </c>
      <c r="BP5" s="78">
        <f>AF5-'2018dram'!Y5</f>
        <v>0</v>
      </c>
      <c r="BQ5" s="296">
        <f>AG5-'2018dram'!Z5</f>
        <v>0</v>
      </c>
      <c r="BR5" s="300">
        <f>AS5+AT5+AU5+AV5+AW5+AX5+AY5+AZ5+BA5+BB5+BC5+BD5+BE5+BF5+BG5+BH5+BI5+BJ5+BK5+BL5+BM5+BN5+BO5+BP5+BQ5</f>
        <v>541.3000000000008</v>
      </c>
      <c r="BS5" s="298">
        <f>AJ5-'2018dram'!AC5</f>
        <v>0</v>
      </c>
      <c r="BT5" s="77">
        <f>AK5-'2018dram'!AD5-G5</f>
        <v>0</v>
      </c>
      <c r="BU5" s="77">
        <f>AL5-'2018dram'!AE5</f>
        <v>0</v>
      </c>
      <c r="BV5" s="77">
        <f>AM5-'2018dram'!AF5</f>
        <v>0</v>
      </c>
      <c r="BW5" s="77">
        <f>AN5-'2018dram'!AG5</f>
        <v>0</v>
      </c>
      <c r="BX5" s="77">
        <f>AO5-'2018dram'!AH5</f>
        <v>0</v>
      </c>
      <c r="BY5" s="303">
        <f>AP5-'2018dram'!AI5</f>
        <v>0</v>
      </c>
      <c r="BZ5" s="300">
        <f>BT5+BU5+BV5+BW5+BX5+BY5</f>
        <v>0</v>
      </c>
      <c r="CA5" s="307">
        <f>BR5+BZ5</f>
        <v>541.3000000000008</v>
      </c>
      <c r="CB5" s="456"/>
      <c r="CC5" s="457"/>
      <c r="CD5" s="458">
        <f>CB5+CC5</f>
        <v>0</v>
      </c>
      <c r="CE5" s="216">
        <f>AR5+CD5</f>
        <v>27638.500000000004</v>
      </c>
    </row>
    <row r="6" spans="1:83" s="6" customFormat="1" ht="15" customHeight="1">
      <c r="A6" s="277" t="s">
        <v>130</v>
      </c>
      <c r="B6" s="459"/>
      <c r="C6" s="460"/>
      <c r="D6" s="460"/>
      <c r="E6" s="460"/>
      <c r="F6" s="460"/>
      <c r="G6" s="455"/>
      <c r="H6" s="270">
        <f>B6+C6+D6+E6+F6+G6</f>
        <v>0</v>
      </c>
      <c r="I6" s="268">
        <v>1040.3</v>
      </c>
      <c r="J6" s="71"/>
      <c r="K6" s="71">
        <v>113.8</v>
      </c>
      <c r="L6" s="71"/>
      <c r="M6" s="71">
        <v>33.2</v>
      </c>
      <c r="N6" s="71"/>
      <c r="O6" s="71"/>
      <c r="P6" s="71"/>
      <c r="Q6" s="71"/>
      <c r="R6" s="71"/>
      <c r="S6" s="71"/>
      <c r="T6" s="71"/>
      <c r="U6" s="71">
        <v>150</v>
      </c>
      <c r="V6" s="71"/>
      <c r="W6" s="71"/>
      <c r="X6" s="71">
        <v>20</v>
      </c>
      <c r="Y6" s="71"/>
      <c r="Z6" s="71"/>
      <c r="AA6" s="71"/>
      <c r="AB6" s="71"/>
      <c r="AC6" s="71"/>
      <c r="AD6" s="71"/>
      <c r="AE6" s="71"/>
      <c r="AF6" s="71"/>
      <c r="AG6" s="160"/>
      <c r="AH6" s="72"/>
      <c r="AI6" s="76">
        <f t="shared" si="0"/>
        <v>1357.3</v>
      </c>
      <c r="AJ6" s="76"/>
      <c r="AK6" s="70"/>
      <c r="AL6" s="70"/>
      <c r="AM6" s="70"/>
      <c r="AN6" s="70"/>
      <c r="AO6" s="71"/>
      <c r="AP6" s="71"/>
      <c r="AQ6" s="78">
        <f aca="true" t="shared" si="1" ref="AQ6:AQ44">AK6+AL6+AM6+AN6+AO6+AP6+AJ6</f>
        <v>0</v>
      </c>
      <c r="AR6" s="78">
        <f aca="true" t="shared" si="2" ref="AR6:AR44">AI6+AQ6</f>
        <v>1357.3</v>
      </c>
      <c r="AS6" s="78">
        <f>I6-'2018dram'!B6</f>
        <v>0</v>
      </c>
      <c r="AT6" s="78">
        <f>J6-'2018dram'!C6</f>
        <v>0</v>
      </c>
      <c r="AU6" s="78">
        <f>K6-'2018dram'!D6-B6</f>
        <v>30.200000000000003</v>
      </c>
      <c r="AV6" s="78">
        <f>L6-'2018dram'!E6-C6</f>
        <v>0</v>
      </c>
      <c r="AW6" s="78">
        <f>M6-'2018dram'!F6-D6</f>
        <v>12.100000000000001</v>
      </c>
      <c r="AX6" s="78">
        <f>N6-'2018dram'!G6</f>
        <v>0</v>
      </c>
      <c r="AY6" s="78">
        <f>O6-'2018dram'!H6</f>
        <v>0</v>
      </c>
      <c r="AZ6" s="78">
        <f>P6-'2018dram'!I6</f>
        <v>0</v>
      </c>
      <c r="BA6" s="78">
        <f>Q6-'2018dram'!J6</f>
        <v>0</v>
      </c>
      <c r="BB6" s="78">
        <f>R6-'2018dram'!K6</f>
        <v>0</v>
      </c>
      <c r="BC6" s="78">
        <f>S6-'2018dram'!L6</f>
        <v>0</v>
      </c>
      <c r="BD6" s="78">
        <f>T6-'2018dram'!M6</f>
        <v>0</v>
      </c>
      <c r="BE6" s="78">
        <f>U6-'2018dram'!N6</f>
        <v>0</v>
      </c>
      <c r="BF6" s="78">
        <f>V6-'2018dram'!O6</f>
        <v>0</v>
      </c>
      <c r="BG6" s="78">
        <f>W6-'2018dram'!P6</f>
        <v>0</v>
      </c>
      <c r="BH6" s="78">
        <f>X6-'2018dram'!Q6</f>
        <v>0</v>
      </c>
      <c r="BI6" s="78">
        <f>Y6-'2018dram'!R6</f>
        <v>0</v>
      </c>
      <c r="BJ6" s="78">
        <f>Z6-'2018dram'!S6</f>
        <v>0</v>
      </c>
      <c r="BK6" s="78">
        <f>AA6-'2018dram'!T6</f>
        <v>0</v>
      </c>
      <c r="BL6" s="78">
        <f>AB6-'2018dram'!U6</f>
        <v>0</v>
      </c>
      <c r="BM6" s="78">
        <f>AC6-'2018dram'!V6-F6</f>
        <v>0</v>
      </c>
      <c r="BN6" s="78">
        <f>AD6-'2018dram'!W6</f>
        <v>0</v>
      </c>
      <c r="BO6" s="78">
        <f>AE6-'2018dram'!X6</f>
        <v>0</v>
      </c>
      <c r="BP6" s="78">
        <f>AF6-'2018dram'!Y6</f>
        <v>0</v>
      </c>
      <c r="BQ6" s="296">
        <f>AG6-'2018dram'!Z6</f>
        <v>0</v>
      </c>
      <c r="BR6" s="300">
        <f>AS6+AT6+AU6+AV6+AW6+AX6+AY6+AZ6+BA6+BB6+BC6+BD6+BE6+BF6+BG6+BH6+BI6+BJ6+BK6+BL6+BM6+BN6+BO6+BP6+BQ6</f>
        <v>42.300000000000004</v>
      </c>
      <c r="BS6" s="298">
        <f>AJ6-'2018dram'!AC6</f>
        <v>0</v>
      </c>
      <c r="BT6" s="77">
        <f>AK6-'2018dram'!AD6-G6</f>
        <v>0</v>
      </c>
      <c r="BU6" s="77">
        <f>AL6-'2018dram'!AE6</f>
        <v>0</v>
      </c>
      <c r="BV6" s="77">
        <f>AM6-'2018dram'!AF6</f>
        <v>0</v>
      </c>
      <c r="BW6" s="77">
        <f>AN6-'2018dram'!AG6</f>
        <v>0</v>
      </c>
      <c r="BX6" s="77">
        <f>AO6-'2018dram'!AH6</f>
        <v>0</v>
      </c>
      <c r="BY6" s="303">
        <f>AP6-'2018dram'!AI6</f>
        <v>0</v>
      </c>
      <c r="BZ6" s="300">
        <f aca="true" t="shared" si="3" ref="BZ6:BZ17">BT6+BU6+BV6+BW6+BX6+BY6</f>
        <v>0</v>
      </c>
      <c r="CA6" s="307">
        <f aca="true" t="shared" si="4" ref="CA6:CA44">BR6+BZ6</f>
        <v>42.300000000000004</v>
      </c>
      <c r="CB6" s="461"/>
      <c r="CC6" s="462"/>
      <c r="CD6" s="416">
        <f aca="true" t="shared" si="5" ref="CD6:CD44">CB6+CC6</f>
        <v>0</v>
      </c>
      <c r="CE6" s="216">
        <f aca="true" t="shared" si="6" ref="CE6:CE44">AR6+CD6</f>
        <v>1357.3</v>
      </c>
    </row>
    <row r="7" spans="1:83" s="6" customFormat="1" ht="15" customHeight="1">
      <c r="A7" s="277" t="s">
        <v>0</v>
      </c>
      <c r="B7" s="459"/>
      <c r="C7" s="460"/>
      <c r="D7" s="460"/>
      <c r="E7" s="460"/>
      <c r="F7" s="460"/>
      <c r="G7" s="455"/>
      <c r="H7" s="270">
        <f>B7+C7+D7+E7+F7+G7</f>
        <v>0</v>
      </c>
      <c r="I7" s="268">
        <v>2398.4</v>
      </c>
      <c r="J7" s="71"/>
      <c r="K7" s="71"/>
      <c r="L7" s="71"/>
      <c r="M7" s="71"/>
      <c r="N7" s="71"/>
      <c r="O7" s="71"/>
      <c r="P7" s="71"/>
      <c r="Q7" s="71">
        <v>86.4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160"/>
      <c r="AH7" s="72"/>
      <c r="AI7" s="76">
        <f t="shared" si="0"/>
        <v>2484.8</v>
      </c>
      <c r="AJ7" s="227"/>
      <c r="AK7" s="70"/>
      <c r="AL7" s="70"/>
      <c r="AM7" s="70"/>
      <c r="AN7" s="70"/>
      <c r="AO7" s="71"/>
      <c r="AP7" s="71"/>
      <c r="AQ7" s="78">
        <f t="shared" si="1"/>
        <v>0</v>
      </c>
      <c r="AR7" s="78">
        <f t="shared" si="2"/>
        <v>2484.8</v>
      </c>
      <c r="AS7" s="78">
        <f>I7-'2018dram'!B7</f>
        <v>0</v>
      </c>
      <c r="AT7" s="78">
        <f>J7-'2018dram'!C7</f>
        <v>0</v>
      </c>
      <c r="AU7" s="78">
        <f>K7-'2018dram'!D7-B7</f>
        <v>0</v>
      </c>
      <c r="AV7" s="78">
        <f>L7-'2018dram'!E7-C7</f>
        <v>0</v>
      </c>
      <c r="AW7" s="78">
        <f>M7-'2018dram'!F7-D7</f>
        <v>0</v>
      </c>
      <c r="AX7" s="78">
        <f>N7-'2018dram'!G7</f>
        <v>0</v>
      </c>
      <c r="AY7" s="78">
        <f>O7-'2018dram'!H7</f>
        <v>0</v>
      </c>
      <c r="AZ7" s="78">
        <f>P7-'2018dram'!I7</f>
        <v>0</v>
      </c>
      <c r="BA7" s="78">
        <f>Q7-'2018dram'!J7</f>
        <v>0</v>
      </c>
      <c r="BB7" s="78">
        <f>R7-'2018dram'!K7</f>
        <v>0</v>
      </c>
      <c r="BC7" s="78">
        <f>S7-'2018dram'!L7</f>
        <v>0</v>
      </c>
      <c r="BD7" s="78">
        <f>T7-'2018dram'!M7</f>
        <v>0</v>
      </c>
      <c r="BE7" s="78">
        <f>U7-'2018dram'!N7</f>
        <v>0</v>
      </c>
      <c r="BF7" s="78">
        <f>V7-'2018dram'!O7</f>
        <v>0</v>
      </c>
      <c r="BG7" s="78">
        <f>W7-'2018dram'!P7</f>
        <v>0</v>
      </c>
      <c r="BH7" s="78">
        <f>X7-'2018dram'!Q7</f>
        <v>0</v>
      </c>
      <c r="BI7" s="78">
        <f>Y7-'2018dram'!R7</f>
        <v>0</v>
      </c>
      <c r="BJ7" s="78">
        <f>Z7-'2018dram'!S7</f>
        <v>0</v>
      </c>
      <c r="BK7" s="78">
        <f>AA7-'2018dram'!T7</f>
        <v>0</v>
      </c>
      <c r="BL7" s="78">
        <f>AB7-'2018dram'!U7</f>
        <v>0</v>
      </c>
      <c r="BM7" s="78">
        <f>AC7-'2018dram'!V7-F7</f>
        <v>0</v>
      </c>
      <c r="BN7" s="78">
        <f>AD7-'2018dram'!W7</f>
        <v>0</v>
      </c>
      <c r="BO7" s="78">
        <f>AE7-'2018dram'!X7</f>
        <v>0</v>
      </c>
      <c r="BP7" s="78">
        <f>AF7-'2018dram'!Y7</f>
        <v>0</v>
      </c>
      <c r="BQ7" s="296">
        <f>AG7-'2018dram'!Z7</f>
        <v>0</v>
      </c>
      <c r="BR7" s="300">
        <f aca="true" t="shared" si="7" ref="BR7:BR44">AS7+AT7+AU7+AV7+AW7+AX7+AY7+AZ7+BA7+BB7+BC7+BD7+BE7+BF7+BG7+BH7+BI7+BJ7+BK7+BL7+BM7+BN7+BO7+BP7+BQ7</f>
        <v>0</v>
      </c>
      <c r="BS7" s="298">
        <f>AJ7-'2018dram'!AC7</f>
        <v>0</v>
      </c>
      <c r="BT7" s="77">
        <f>AK7-'2018dram'!AD7-G7</f>
        <v>0</v>
      </c>
      <c r="BU7" s="77">
        <f>AL7-'2018dram'!AE7</f>
        <v>0</v>
      </c>
      <c r="BV7" s="77">
        <f>AM7-'2018dram'!AF7</f>
        <v>0</v>
      </c>
      <c r="BW7" s="77">
        <f>AN7-'2018dram'!AG7</f>
        <v>0</v>
      </c>
      <c r="BX7" s="77">
        <f>AO7-'2018dram'!AH7</f>
        <v>0</v>
      </c>
      <c r="BY7" s="303">
        <f>AP7-'2018dram'!AI7</f>
        <v>0</v>
      </c>
      <c r="BZ7" s="300">
        <f t="shared" si="3"/>
        <v>0</v>
      </c>
      <c r="CA7" s="307">
        <f t="shared" si="4"/>
        <v>0</v>
      </c>
      <c r="CB7" s="461"/>
      <c r="CC7" s="462"/>
      <c r="CD7" s="416">
        <f t="shared" si="5"/>
        <v>0</v>
      </c>
      <c r="CE7" s="216">
        <f t="shared" si="6"/>
        <v>2484.8</v>
      </c>
    </row>
    <row r="8" spans="1:83" s="6" customFormat="1" ht="15" customHeight="1">
      <c r="A8" s="277" t="s">
        <v>1</v>
      </c>
      <c r="B8" s="459"/>
      <c r="C8" s="460"/>
      <c r="D8" s="460"/>
      <c r="E8" s="460"/>
      <c r="F8" s="460"/>
      <c r="G8" s="455">
        <v>10478.3</v>
      </c>
      <c r="H8" s="270">
        <f>B8+C8+D8+E8+F8+G8</f>
        <v>10478.3</v>
      </c>
      <c r="I8" s="268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>
        <v>100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>
        <v>400</v>
      </c>
      <c r="AG8" s="160">
        <v>42.8</v>
      </c>
      <c r="AH8" s="72"/>
      <c r="AI8" s="76">
        <f>I8+J8+K8+L8+M8+N8+O8+P8+Q8+R8+S8+T8+U8+V8+W8+X8+Y8+Z8+AA8+AB8+AC8+AD8+AE8+AF8+AG8+AH8</f>
        <v>542.8</v>
      </c>
      <c r="AJ8" s="72"/>
      <c r="AK8" s="70">
        <v>8108.6</v>
      </c>
      <c r="AL8" s="70"/>
      <c r="AM8" s="70"/>
      <c r="AN8" s="70">
        <v>485</v>
      </c>
      <c r="AO8" s="71"/>
      <c r="AP8" s="71">
        <v>1000</v>
      </c>
      <c r="AQ8" s="78">
        <f t="shared" si="1"/>
        <v>9593.6</v>
      </c>
      <c r="AR8" s="78">
        <f t="shared" si="2"/>
        <v>10136.4</v>
      </c>
      <c r="AS8" s="78">
        <f>I8-'2018dram'!B8</f>
        <v>0</v>
      </c>
      <c r="AT8" s="78">
        <f>J8-'2018dram'!C8</f>
        <v>0</v>
      </c>
      <c r="AU8" s="78">
        <f>K8-'2018dram'!D8-B8</f>
        <v>0</v>
      </c>
      <c r="AV8" s="78">
        <f>L8-'2018dram'!E8-C8</f>
        <v>0</v>
      </c>
      <c r="AW8" s="78">
        <f>M8-'2018dram'!F8-D8</f>
        <v>0</v>
      </c>
      <c r="AX8" s="78">
        <f>N8-'2018dram'!G8</f>
        <v>0</v>
      </c>
      <c r="AY8" s="78">
        <f>O8-'2018dram'!H8</f>
        <v>0</v>
      </c>
      <c r="AZ8" s="78">
        <f>P8-'2018dram'!I8</f>
        <v>0</v>
      </c>
      <c r="BA8" s="78">
        <f>Q8-'2018dram'!J8</f>
        <v>0</v>
      </c>
      <c r="BB8" s="78">
        <f>R8-'2018dram'!K8</f>
        <v>0</v>
      </c>
      <c r="BC8" s="78">
        <f>S8-'2018dram'!L8</f>
        <v>0</v>
      </c>
      <c r="BD8" s="78">
        <f>T8-'2018dram'!M8</f>
        <v>0</v>
      </c>
      <c r="BE8" s="78">
        <f>U8-'2018dram'!N8</f>
        <v>0</v>
      </c>
      <c r="BF8" s="78">
        <f>V8-'2018dram'!O8</f>
        <v>0</v>
      </c>
      <c r="BG8" s="78">
        <f>W8-'2018dram'!P8</f>
        <v>0</v>
      </c>
      <c r="BH8" s="78">
        <f>X8-'2018dram'!Q8</f>
        <v>0</v>
      </c>
      <c r="BI8" s="78">
        <f>Y8-'2018dram'!R8</f>
        <v>0</v>
      </c>
      <c r="BJ8" s="78">
        <f>Z8-'2018dram'!S8</f>
        <v>0</v>
      </c>
      <c r="BK8" s="78">
        <f>AA8-'2018dram'!T8</f>
        <v>0</v>
      </c>
      <c r="BL8" s="78">
        <f>AB8-'2018dram'!U8</f>
        <v>0</v>
      </c>
      <c r="BM8" s="78">
        <f>AC8-'2018dram'!V8-F8</f>
        <v>0</v>
      </c>
      <c r="BN8" s="78">
        <f>AD8-'2018dram'!W8</f>
        <v>0</v>
      </c>
      <c r="BO8" s="78">
        <f>AE8-'2018dram'!X8</f>
        <v>0</v>
      </c>
      <c r="BP8" s="78">
        <f>AF8-'2018dram'!Y8</f>
        <v>0</v>
      </c>
      <c r="BQ8" s="296">
        <f>AG8-'2018dram'!Z8</f>
        <v>0</v>
      </c>
      <c r="BR8" s="300">
        <f t="shared" si="7"/>
        <v>0</v>
      </c>
      <c r="BS8" s="298">
        <f>AJ8-'2018dram'!AC8</f>
        <v>0</v>
      </c>
      <c r="BT8" s="77">
        <f>AK8-'2018dram'!AD8-G8</f>
        <v>-2554.699999999999</v>
      </c>
      <c r="BU8" s="77">
        <f>AL8-'2018dram'!AE8</f>
        <v>0</v>
      </c>
      <c r="BV8" s="77">
        <f>AM8-'2018dram'!AF8</f>
        <v>0</v>
      </c>
      <c r="BW8" s="77">
        <f>AN8-'2018dram'!AG8</f>
        <v>0</v>
      </c>
      <c r="BX8" s="77">
        <f>AO8-'2018dram'!AH8</f>
        <v>0</v>
      </c>
      <c r="BY8" s="303">
        <f>AP8-'2018dram'!AI8</f>
        <v>70</v>
      </c>
      <c r="BZ8" s="300">
        <f t="shared" si="3"/>
        <v>-2484.699999999999</v>
      </c>
      <c r="CA8" s="307">
        <f t="shared" si="4"/>
        <v>-2484.699999999999</v>
      </c>
      <c r="CB8" s="461"/>
      <c r="CC8" s="462"/>
      <c r="CD8" s="416">
        <f t="shared" si="5"/>
        <v>0</v>
      </c>
      <c r="CE8" s="216">
        <f t="shared" si="6"/>
        <v>10136.4</v>
      </c>
    </row>
    <row r="9" spans="1:83" s="6" customFormat="1" ht="15" customHeight="1">
      <c r="A9" s="213" t="s">
        <v>107</v>
      </c>
      <c r="B9" s="459"/>
      <c r="C9" s="460"/>
      <c r="D9" s="460"/>
      <c r="E9" s="460">
        <v>-1071.6</v>
      </c>
      <c r="F9" s="460"/>
      <c r="G9" s="455"/>
      <c r="H9" s="270">
        <f>B9+C9+D9+E9+F9+G9</f>
        <v>-1071.6</v>
      </c>
      <c r="I9" s="268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160"/>
      <c r="AH9" s="72"/>
      <c r="AI9" s="76">
        <f t="shared" si="0"/>
        <v>0</v>
      </c>
      <c r="AJ9" s="76"/>
      <c r="AK9" s="70"/>
      <c r="AL9" s="70"/>
      <c r="AM9" s="70"/>
      <c r="AN9" s="70"/>
      <c r="AO9" s="71"/>
      <c r="AP9" s="71"/>
      <c r="AQ9" s="78">
        <f t="shared" si="1"/>
        <v>0</v>
      </c>
      <c r="AR9" s="78">
        <f t="shared" si="2"/>
        <v>0</v>
      </c>
      <c r="AS9" s="78">
        <f>I9-'2018dram'!B9</f>
        <v>0</v>
      </c>
      <c r="AT9" s="78">
        <f>J9-'2018dram'!C9</f>
        <v>0</v>
      </c>
      <c r="AU9" s="78">
        <f>K9-'2018dram'!D9-B9</f>
        <v>0</v>
      </c>
      <c r="AV9" s="78">
        <f>L9-'2018dram'!E9-C9</f>
        <v>0</v>
      </c>
      <c r="AW9" s="78">
        <f>M9-'2018dram'!F9-D9</f>
        <v>0</v>
      </c>
      <c r="AX9" s="78">
        <f>N9-'2018dram'!G9</f>
        <v>0</v>
      </c>
      <c r="AY9" s="78">
        <f>O9-'2018dram'!H9</f>
        <v>0</v>
      </c>
      <c r="AZ9" s="78">
        <f>P9-'2018dram'!I9</f>
        <v>0</v>
      </c>
      <c r="BA9" s="78">
        <f>Q9-'2018dram'!J9</f>
        <v>0</v>
      </c>
      <c r="BB9" s="78">
        <f>R9-'2018dram'!K9</f>
        <v>0</v>
      </c>
      <c r="BC9" s="78">
        <f>S9-'2018dram'!L9</f>
        <v>0</v>
      </c>
      <c r="BD9" s="78">
        <f>T9-'2018dram'!M9</f>
        <v>0</v>
      </c>
      <c r="BE9" s="78">
        <f>U9-'2018dram'!N9</f>
        <v>0</v>
      </c>
      <c r="BF9" s="78">
        <f>V9-'2018dram'!O9-E9</f>
        <v>1071.6</v>
      </c>
      <c r="BG9" s="78">
        <f>W9-'2018dram'!P9</f>
        <v>0</v>
      </c>
      <c r="BH9" s="78">
        <f>X9-'2018dram'!Q9</f>
        <v>0</v>
      </c>
      <c r="BI9" s="78">
        <f>Y9-'2018dram'!R9</f>
        <v>0</v>
      </c>
      <c r="BJ9" s="78">
        <f>Z9-'2018dram'!S9</f>
        <v>0</v>
      </c>
      <c r="BK9" s="78">
        <f>AA9-'2018dram'!T9</f>
        <v>0</v>
      </c>
      <c r="BL9" s="78">
        <f>AB9-'2018dram'!U9</f>
        <v>0</v>
      </c>
      <c r="BM9" s="78">
        <f>AC9-'2018dram'!V9-F9</f>
        <v>0</v>
      </c>
      <c r="BN9" s="78">
        <f>AD9-'2018dram'!W9</f>
        <v>0</v>
      </c>
      <c r="BO9" s="78">
        <f>AE9-'2018dram'!X9</f>
        <v>0</v>
      </c>
      <c r="BP9" s="78">
        <f>AF9-'2018dram'!Y9</f>
        <v>0</v>
      </c>
      <c r="BQ9" s="296">
        <f>AG9-'2018dram'!Z9</f>
        <v>0</v>
      </c>
      <c r="BR9" s="300">
        <f t="shared" si="7"/>
        <v>1071.6</v>
      </c>
      <c r="BS9" s="298">
        <f>AJ9-'2018dram'!AC9</f>
        <v>0</v>
      </c>
      <c r="BT9" s="77">
        <f>AK9-'2018dram'!AD9-G9</f>
        <v>0</v>
      </c>
      <c r="BU9" s="77">
        <f>AL9-'2018dram'!AE9</f>
        <v>0</v>
      </c>
      <c r="BV9" s="77">
        <f>AM9-'2018dram'!AF9</f>
        <v>0</v>
      </c>
      <c r="BW9" s="77">
        <f>AN9-'2018dram'!AG9</f>
        <v>0</v>
      </c>
      <c r="BX9" s="77">
        <f>AO9-'2018dram'!AH9</f>
        <v>0</v>
      </c>
      <c r="BY9" s="303">
        <f>AP9-'2018dram'!AI9</f>
        <v>0</v>
      </c>
      <c r="BZ9" s="300">
        <f t="shared" si="3"/>
        <v>0</v>
      </c>
      <c r="CA9" s="307">
        <f t="shared" si="4"/>
        <v>1071.6</v>
      </c>
      <c r="CB9" s="461"/>
      <c r="CC9" s="462"/>
      <c r="CD9" s="416">
        <f t="shared" si="5"/>
        <v>0</v>
      </c>
      <c r="CE9" s="216">
        <f t="shared" si="6"/>
        <v>0</v>
      </c>
    </row>
    <row r="10" spans="1:84" s="6" customFormat="1" ht="15" customHeight="1">
      <c r="A10" s="277" t="s">
        <v>112</v>
      </c>
      <c r="B10" s="459"/>
      <c r="C10" s="460"/>
      <c r="D10" s="460"/>
      <c r="E10" s="460"/>
      <c r="F10" s="460"/>
      <c r="G10" s="455"/>
      <c r="H10" s="270">
        <f aca="true" t="shared" si="8" ref="H10:H19">B10+C10+D10+E10+F10+G10</f>
        <v>0</v>
      </c>
      <c r="I10" s="268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60"/>
      <c r="AH10" s="72"/>
      <c r="AI10" s="76">
        <f t="shared" si="0"/>
        <v>0</v>
      </c>
      <c r="AJ10" s="76"/>
      <c r="AK10" s="70"/>
      <c r="AL10" s="70"/>
      <c r="AM10" s="70"/>
      <c r="AN10" s="70"/>
      <c r="AO10" s="71"/>
      <c r="AP10" s="71"/>
      <c r="AQ10" s="78">
        <f t="shared" si="1"/>
        <v>0</v>
      </c>
      <c r="AR10" s="78">
        <f t="shared" si="2"/>
        <v>0</v>
      </c>
      <c r="AS10" s="78">
        <f>I10-'2018dram'!B10</f>
        <v>0</v>
      </c>
      <c r="AT10" s="78">
        <f>J10-'2018dram'!C10</f>
        <v>0</v>
      </c>
      <c r="AU10" s="78">
        <f>K10-'2018dram'!D10-B10</f>
        <v>0</v>
      </c>
      <c r="AV10" s="78">
        <f>L10-'2018dram'!E10-C10</f>
        <v>0</v>
      </c>
      <c r="AW10" s="78">
        <f>M10-'2018dram'!F10-D10</f>
        <v>0</v>
      </c>
      <c r="AX10" s="78">
        <f>N10-'2018dram'!G10</f>
        <v>0</v>
      </c>
      <c r="AY10" s="78">
        <f>O10-'2018dram'!H10</f>
        <v>0</v>
      </c>
      <c r="AZ10" s="78">
        <f>P10-'2018dram'!I10</f>
        <v>0</v>
      </c>
      <c r="BA10" s="78">
        <f>Q10-'2018dram'!J10</f>
        <v>0</v>
      </c>
      <c r="BB10" s="78">
        <f>R10-'2018dram'!K10</f>
        <v>0</v>
      </c>
      <c r="BC10" s="78">
        <f>S10-'2018dram'!L10</f>
        <v>0</v>
      </c>
      <c r="BD10" s="78">
        <f>T10-'2018dram'!M10</f>
        <v>0</v>
      </c>
      <c r="BE10" s="78">
        <f>U10-'2018dram'!N10</f>
        <v>0</v>
      </c>
      <c r="BF10" s="78">
        <f>V10-'2018dram'!O10</f>
        <v>0</v>
      </c>
      <c r="BG10" s="78">
        <f>W10-'2018dram'!P10</f>
        <v>0</v>
      </c>
      <c r="BH10" s="78">
        <f>X10-'2018dram'!Q10</f>
        <v>0</v>
      </c>
      <c r="BI10" s="78">
        <f>Y10-'2018dram'!R10</f>
        <v>0</v>
      </c>
      <c r="BJ10" s="78">
        <f>Z10-'2018dram'!S10</f>
        <v>0</v>
      </c>
      <c r="BK10" s="78">
        <f>AA10-'2018dram'!T10</f>
        <v>0</v>
      </c>
      <c r="BL10" s="78">
        <f>AB10-'2018dram'!U10</f>
        <v>0</v>
      </c>
      <c r="BM10" s="78">
        <f>AC10-'2018dram'!V10-F10</f>
        <v>0</v>
      </c>
      <c r="BN10" s="78">
        <f>AD10-'2018dram'!W10</f>
        <v>0</v>
      </c>
      <c r="BO10" s="78">
        <f>AE10-'2018dram'!X10</f>
        <v>0</v>
      </c>
      <c r="BP10" s="78">
        <f>AF10-'2018dram'!Y10</f>
        <v>0</v>
      </c>
      <c r="BQ10" s="296">
        <f>AG10-'2018dram'!Z10</f>
        <v>0</v>
      </c>
      <c r="BR10" s="300">
        <f t="shared" si="7"/>
        <v>0</v>
      </c>
      <c r="BS10" s="298">
        <f>AJ10-'2018dram'!AC10</f>
        <v>0</v>
      </c>
      <c r="BT10" s="77">
        <f>AK10-'2018dram'!AD10-G10</f>
        <v>0</v>
      </c>
      <c r="BU10" s="77">
        <f>AL10-'2018dram'!AE10</f>
        <v>0</v>
      </c>
      <c r="BV10" s="77">
        <f>AM10-'2018dram'!AF10</f>
        <v>0</v>
      </c>
      <c r="BW10" s="77">
        <f>AN10-'2018dram'!AG10</f>
        <v>0</v>
      </c>
      <c r="BX10" s="77">
        <f>AO10-'2018dram'!AH10</f>
        <v>0</v>
      </c>
      <c r="BY10" s="303">
        <f>AP10-'2018dram'!AI10</f>
        <v>0</v>
      </c>
      <c r="BZ10" s="300">
        <f t="shared" si="3"/>
        <v>0</v>
      </c>
      <c r="CA10" s="307">
        <f t="shared" si="4"/>
        <v>0</v>
      </c>
      <c r="CB10" s="461"/>
      <c r="CC10" s="462"/>
      <c r="CD10" s="416">
        <f t="shared" si="5"/>
        <v>0</v>
      </c>
      <c r="CE10" s="216">
        <f t="shared" si="6"/>
        <v>0</v>
      </c>
      <c r="CF10" s="6" t="s">
        <v>91</v>
      </c>
    </row>
    <row r="11" spans="1:83" s="6" customFormat="1" ht="15" customHeight="1">
      <c r="A11" s="277" t="s">
        <v>131</v>
      </c>
      <c r="B11" s="459"/>
      <c r="C11" s="460"/>
      <c r="D11" s="460"/>
      <c r="E11" s="460"/>
      <c r="F11" s="460"/>
      <c r="G11" s="455"/>
      <c r="H11" s="270">
        <f t="shared" si="8"/>
        <v>0</v>
      </c>
      <c r="I11" s="268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>
        <v>500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160"/>
      <c r="AH11" s="72"/>
      <c r="AI11" s="76">
        <f t="shared" si="0"/>
        <v>500</v>
      </c>
      <c r="AJ11" s="76"/>
      <c r="AK11" s="70"/>
      <c r="AL11" s="70"/>
      <c r="AM11" s="70"/>
      <c r="AN11" s="70"/>
      <c r="AO11" s="71"/>
      <c r="AP11" s="71"/>
      <c r="AQ11" s="78">
        <f t="shared" si="1"/>
        <v>0</v>
      </c>
      <c r="AR11" s="78">
        <f t="shared" si="2"/>
        <v>500</v>
      </c>
      <c r="AS11" s="78">
        <f>I11-'2018dram'!B11</f>
        <v>0</v>
      </c>
      <c r="AT11" s="78">
        <f>J11-'2018dram'!C11</f>
        <v>0</v>
      </c>
      <c r="AU11" s="78">
        <f>K11-'2018dram'!D11-B11</f>
        <v>0</v>
      </c>
      <c r="AV11" s="78">
        <f>L11-'2018dram'!E11-C11</f>
        <v>0</v>
      </c>
      <c r="AW11" s="78">
        <f>M11-'2018dram'!F11-D11</f>
        <v>0</v>
      </c>
      <c r="AX11" s="78">
        <f>N11-'2018dram'!G11</f>
        <v>0</v>
      </c>
      <c r="AY11" s="78">
        <f>O11-'2018dram'!H11</f>
        <v>0</v>
      </c>
      <c r="AZ11" s="78">
        <f>P11-'2018dram'!I11</f>
        <v>0</v>
      </c>
      <c r="BA11" s="78">
        <f>Q11-'2018dram'!J11</f>
        <v>0</v>
      </c>
      <c r="BB11" s="78">
        <f>R11-'2018dram'!K11</f>
        <v>0</v>
      </c>
      <c r="BC11" s="78">
        <f>S11-'2018dram'!L11</f>
        <v>0</v>
      </c>
      <c r="BD11" s="78">
        <f>T11-'2018dram'!M11</f>
        <v>0</v>
      </c>
      <c r="BE11" s="78">
        <f>U11-'2018dram'!N11</f>
        <v>0</v>
      </c>
      <c r="BF11" s="78">
        <f>V11-'2018dram'!O11</f>
        <v>0</v>
      </c>
      <c r="BG11" s="78">
        <f>W11-'2018dram'!P11</f>
        <v>0</v>
      </c>
      <c r="BH11" s="78">
        <f>X11-'2018dram'!Q11</f>
        <v>0</v>
      </c>
      <c r="BI11" s="78">
        <f>Y11-'2018dram'!R11</f>
        <v>0</v>
      </c>
      <c r="BJ11" s="78">
        <f>Z11-'2018dram'!S11</f>
        <v>0</v>
      </c>
      <c r="BK11" s="78">
        <f>AA11-'2018dram'!T11</f>
        <v>0</v>
      </c>
      <c r="BL11" s="78">
        <f>AB11-'2018dram'!U11</f>
        <v>0</v>
      </c>
      <c r="BM11" s="78">
        <f>AC11-'2018dram'!V11-F11</f>
        <v>0</v>
      </c>
      <c r="BN11" s="78">
        <f>AD11-'2018dram'!W11</f>
        <v>0</v>
      </c>
      <c r="BO11" s="78">
        <f>AE11-'2018dram'!X11</f>
        <v>0</v>
      </c>
      <c r="BP11" s="78">
        <f>AF11-'2018dram'!Y11</f>
        <v>0</v>
      </c>
      <c r="BQ11" s="296">
        <f>AG11-'2018dram'!Z11</f>
        <v>0</v>
      </c>
      <c r="BR11" s="300">
        <f t="shared" si="7"/>
        <v>0</v>
      </c>
      <c r="BS11" s="298">
        <f>AJ11-'2018dram'!AC11</f>
        <v>0</v>
      </c>
      <c r="BT11" s="77">
        <f>AK11-'2018dram'!AD11-G11</f>
        <v>0</v>
      </c>
      <c r="BU11" s="77">
        <f>AL11-'2018dram'!AE11</f>
        <v>0</v>
      </c>
      <c r="BV11" s="77">
        <f>AM11-'2018dram'!AF11</f>
        <v>0</v>
      </c>
      <c r="BW11" s="77">
        <f>AN11-'2018dram'!AG11</f>
        <v>0</v>
      </c>
      <c r="BX11" s="77">
        <f>AO11-'2018dram'!AH11</f>
        <v>0</v>
      </c>
      <c r="BY11" s="303">
        <f>AP11-'2018dram'!AI11</f>
        <v>0</v>
      </c>
      <c r="BZ11" s="300">
        <f t="shared" si="3"/>
        <v>0</v>
      </c>
      <c r="CA11" s="307">
        <f t="shared" si="4"/>
        <v>0</v>
      </c>
      <c r="CB11" s="461"/>
      <c r="CC11" s="462"/>
      <c r="CD11" s="416">
        <f t="shared" si="5"/>
        <v>0</v>
      </c>
      <c r="CE11" s="216">
        <f t="shared" si="6"/>
        <v>500</v>
      </c>
    </row>
    <row r="12" spans="1:83" s="6" customFormat="1" ht="15" customHeight="1">
      <c r="A12" s="277" t="s">
        <v>136</v>
      </c>
      <c r="B12" s="459"/>
      <c r="C12" s="460"/>
      <c r="D12" s="460"/>
      <c r="E12" s="460"/>
      <c r="F12" s="460"/>
      <c r="G12" s="455"/>
      <c r="H12" s="270">
        <f t="shared" si="8"/>
        <v>0</v>
      </c>
      <c r="I12" s="268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>
        <v>595</v>
      </c>
      <c r="AF12" s="71"/>
      <c r="AG12" s="160"/>
      <c r="AH12" s="72"/>
      <c r="AI12" s="76">
        <f t="shared" si="0"/>
        <v>595</v>
      </c>
      <c r="AJ12" s="76"/>
      <c r="AK12" s="70"/>
      <c r="AL12" s="70"/>
      <c r="AM12" s="70"/>
      <c r="AN12" s="70"/>
      <c r="AO12" s="71"/>
      <c r="AP12" s="71"/>
      <c r="AQ12" s="78">
        <f t="shared" si="1"/>
        <v>0</v>
      </c>
      <c r="AR12" s="78">
        <f t="shared" si="2"/>
        <v>595</v>
      </c>
      <c r="AS12" s="78">
        <f>I12-'2018dram'!B12</f>
        <v>0</v>
      </c>
      <c r="AT12" s="78">
        <f>J12-'2018dram'!C12</f>
        <v>0</v>
      </c>
      <c r="AU12" s="78">
        <f>K12-'2018dram'!D12-B12</f>
        <v>0</v>
      </c>
      <c r="AV12" s="78">
        <f>L12-'2018dram'!E12-C12</f>
        <v>0</v>
      </c>
      <c r="AW12" s="78">
        <f>M12-'2018dram'!F12-D12</f>
        <v>0</v>
      </c>
      <c r="AX12" s="78">
        <f>N12-'2018dram'!G12</f>
        <v>0</v>
      </c>
      <c r="AY12" s="78">
        <f>O12-'2018dram'!H12</f>
        <v>0</v>
      </c>
      <c r="AZ12" s="78">
        <f>P12-'2018dram'!I12</f>
        <v>0</v>
      </c>
      <c r="BA12" s="78">
        <f>Q12-'2018dram'!J12</f>
        <v>0</v>
      </c>
      <c r="BB12" s="78">
        <f>R12-'2018dram'!K12</f>
        <v>0</v>
      </c>
      <c r="BC12" s="78">
        <f>S12-'2018dram'!L12</f>
        <v>0</v>
      </c>
      <c r="BD12" s="78">
        <f>T12-'2018dram'!M12</f>
        <v>0</v>
      </c>
      <c r="BE12" s="78">
        <f>U12-'2018dram'!N12</f>
        <v>0</v>
      </c>
      <c r="BF12" s="78">
        <f>V12-'2018dram'!O12</f>
        <v>0</v>
      </c>
      <c r="BG12" s="78">
        <f>W12-'2018dram'!P12</f>
        <v>0</v>
      </c>
      <c r="BH12" s="78">
        <f>X12-'2018dram'!Q12</f>
        <v>0</v>
      </c>
      <c r="BI12" s="78">
        <f>Y12-'2018dram'!R12</f>
        <v>0</v>
      </c>
      <c r="BJ12" s="78">
        <f>Z12-'2018dram'!S12</f>
        <v>0</v>
      </c>
      <c r="BK12" s="78">
        <f>AA12-'2018dram'!T12</f>
        <v>0</v>
      </c>
      <c r="BL12" s="78">
        <f>AB12-'2018dram'!U12</f>
        <v>0</v>
      </c>
      <c r="BM12" s="78">
        <f>AC12-'2018dram'!V12-F12</f>
        <v>0</v>
      </c>
      <c r="BN12" s="78">
        <f>AD12-'2018dram'!W12</f>
        <v>0</v>
      </c>
      <c r="BO12" s="78">
        <f>AE12-'2018dram'!X12</f>
        <v>0</v>
      </c>
      <c r="BP12" s="78">
        <f>AF12-'2018dram'!Y12</f>
        <v>0</v>
      </c>
      <c r="BQ12" s="296">
        <f>AG12-'2018dram'!Z12</f>
        <v>0</v>
      </c>
      <c r="BR12" s="300">
        <f t="shared" si="7"/>
        <v>0</v>
      </c>
      <c r="BS12" s="298">
        <f>AJ12-'2018dram'!AC12</f>
        <v>0</v>
      </c>
      <c r="BT12" s="77">
        <f>AK12-'2018dram'!AD12-G12</f>
        <v>0</v>
      </c>
      <c r="BU12" s="77">
        <f>AL12-'2018dram'!AE12</f>
        <v>0</v>
      </c>
      <c r="BV12" s="77">
        <f>AM12-'2018dram'!AF12</f>
        <v>0</v>
      </c>
      <c r="BW12" s="77">
        <f>AN12-'2018dram'!AG12</f>
        <v>0</v>
      </c>
      <c r="BX12" s="77">
        <f>AO12-'2018dram'!AH12</f>
        <v>0</v>
      </c>
      <c r="BY12" s="303">
        <f>AP12-'2018dram'!AI12</f>
        <v>0</v>
      </c>
      <c r="BZ12" s="300">
        <f t="shared" si="3"/>
        <v>0</v>
      </c>
      <c r="CA12" s="307">
        <f t="shared" si="4"/>
        <v>0</v>
      </c>
      <c r="CB12" s="461"/>
      <c r="CC12" s="462"/>
      <c r="CD12" s="416">
        <f t="shared" si="5"/>
        <v>0</v>
      </c>
      <c r="CE12" s="216">
        <f t="shared" si="6"/>
        <v>595</v>
      </c>
    </row>
    <row r="13" spans="1:83" s="6" customFormat="1" ht="15" customHeight="1">
      <c r="A13" s="277" t="s">
        <v>105</v>
      </c>
      <c r="B13" s="459"/>
      <c r="C13" s="460"/>
      <c r="D13" s="460"/>
      <c r="E13" s="460"/>
      <c r="F13" s="460"/>
      <c r="G13" s="455"/>
      <c r="H13" s="270">
        <f t="shared" si="8"/>
        <v>0</v>
      </c>
      <c r="I13" s="268">
        <v>13496.2</v>
      </c>
      <c r="J13" s="71"/>
      <c r="K13" s="71"/>
      <c r="L13" s="71"/>
      <c r="M13" s="71">
        <v>160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>
        <v>8136.2</v>
      </c>
      <c r="AA13" s="71"/>
      <c r="AB13" s="71"/>
      <c r="AC13" s="71"/>
      <c r="AD13" s="71"/>
      <c r="AE13" s="71">
        <v>189.4</v>
      </c>
      <c r="AF13" s="71"/>
      <c r="AG13" s="160">
        <v>920.4</v>
      </c>
      <c r="AH13" s="72"/>
      <c r="AI13" s="76">
        <f t="shared" si="0"/>
        <v>22902.200000000004</v>
      </c>
      <c r="AJ13" s="76"/>
      <c r="AK13" s="70"/>
      <c r="AL13" s="70"/>
      <c r="AM13" s="70"/>
      <c r="AN13" s="70"/>
      <c r="AO13" s="71"/>
      <c r="AP13" s="71"/>
      <c r="AQ13" s="78">
        <f t="shared" si="1"/>
        <v>0</v>
      </c>
      <c r="AR13" s="78">
        <f t="shared" si="2"/>
        <v>22902.200000000004</v>
      </c>
      <c r="AS13" s="78">
        <f>I13-'2018dram'!B13</f>
        <v>0</v>
      </c>
      <c r="AT13" s="78">
        <f>J13-'2018dram'!C13</f>
        <v>0</v>
      </c>
      <c r="AU13" s="78">
        <f>K13-'2018dram'!D13-B13</f>
        <v>0</v>
      </c>
      <c r="AV13" s="78">
        <f>L13-'2018dram'!E13-C13</f>
        <v>0</v>
      </c>
      <c r="AW13" s="78">
        <f>M13-'2018dram'!F13-D13</f>
        <v>0</v>
      </c>
      <c r="AX13" s="78">
        <f>N13-'2018dram'!G13</f>
        <v>0</v>
      </c>
      <c r="AY13" s="78">
        <f>O13-'2018dram'!H13</f>
        <v>0</v>
      </c>
      <c r="AZ13" s="78">
        <f>P13-'2018dram'!I13</f>
        <v>0</v>
      </c>
      <c r="BA13" s="78">
        <f>Q13-'2018dram'!J13</f>
        <v>0</v>
      </c>
      <c r="BB13" s="78">
        <f>R13-'2018dram'!K13</f>
        <v>0</v>
      </c>
      <c r="BC13" s="78">
        <f>S13-'2018dram'!L13</f>
        <v>0</v>
      </c>
      <c r="BD13" s="78">
        <f>T13-'2018dram'!M13</f>
        <v>0</v>
      </c>
      <c r="BE13" s="78">
        <f>U13-'2018dram'!N13</f>
        <v>0</v>
      </c>
      <c r="BF13" s="78">
        <f>V13-'2018dram'!O13</f>
        <v>0</v>
      </c>
      <c r="BG13" s="78">
        <f>W13-'2018dram'!P13</f>
        <v>0</v>
      </c>
      <c r="BH13" s="78">
        <f>X13-'2018dram'!Q13</f>
        <v>0</v>
      </c>
      <c r="BI13" s="78">
        <f>Y13-'2018dram'!R13</f>
        <v>0</v>
      </c>
      <c r="BJ13" s="78">
        <f>Z13-'2018dram'!S13</f>
        <v>0</v>
      </c>
      <c r="BK13" s="78">
        <f>AA13-'2018dram'!T13</f>
        <v>0</v>
      </c>
      <c r="BL13" s="78">
        <f>AB13-'2018dram'!U13</f>
        <v>0</v>
      </c>
      <c r="BM13" s="78">
        <f>AC13-'2018dram'!V13-F13</f>
        <v>0</v>
      </c>
      <c r="BN13" s="78">
        <f>AD13-'2018dram'!W13</f>
        <v>0</v>
      </c>
      <c r="BO13" s="78">
        <f>AE13-'2018dram'!X13</f>
        <v>0</v>
      </c>
      <c r="BP13" s="78">
        <f>AF13-'2018dram'!Y13</f>
        <v>0</v>
      </c>
      <c r="BQ13" s="296">
        <f>AG13-'2018dram'!Z13</f>
        <v>920.4</v>
      </c>
      <c r="BR13" s="300">
        <f t="shared" si="7"/>
        <v>920.4</v>
      </c>
      <c r="BS13" s="298">
        <f>AJ13-'2018dram'!AC13</f>
        <v>0</v>
      </c>
      <c r="BT13" s="77">
        <f>AK13-'2018dram'!AD13-G13</f>
        <v>0</v>
      </c>
      <c r="BU13" s="77">
        <f>AL13-'2018dram'!AE13</f>
        <v>0</v>
      </c>
      <c r="BV13" s="77">
        <f>AM13-'2018dram'!AF13</f>
        <v>0</v>
      </c>
      <c r="BW13" s="77">
        <f>AN13-'2018dram'!AG13</f>
        <v>0</v>
      </c>
      <c r="BX13" s="77">
        <f>AO13-'2018dram'!AH13</f>
        <v>0</v>
      </c>
      <c r="BY13" s="303">
        <f>AP13-'2018dram'!AI13</f>
        <v>0</v>
      </c>
      <c r="BZ13" s="300">
        <f t="shared" si="3"/>
        <v>0</v>
      </c>
      <c r="CA13" s="307">
        <f t="shared" si="4"/>
        <v>920.4</v>
      </c>
      <c r="CB13" s="461"/>
      <c r="CC13" s="462"/>
      <c r="CD13" s="416">
        <f t="shared" si="5"/>
        <v>0</v>
      </c>
      <c r="CE13" s="216">
        <f t="shared" si="6"/>
        <v>22902.200000000004</v>
      </c>
    </row>
    <row r="14" spans="1:83" s="6" customFormat="1" ht="15" customHeight="1">
      <c r="A14" s="277" t="s">
        <v>104</v>
      </c>
      <c r="B14" s="459"/>
      <c r="C14" s="460"/>
      <c r="D14" s="460"/>
      <c r="E14" s="460"/>
      <c r="F14" s="460"/>
      <c r="G14" s="455"/>
      <c r="H14" s="270">
        <f t="shared" si="8"/>
        <v>0</v>
      </c>
      <c r="I14" s="268">
        <v>452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160"/>
      <c r="AH14" s="72"/>
      <c r="AI14" s="76">
        <f t="shared" si="0"/>
        <v>452</v>
      </c>
      <c r="AJ14" s="76"/>
      <c r="AK14" s="70"/>
      <c r="AL14" s="70"/>
      <c r="AM14" s="70"/>
      <c r="AN14" s="70"/>
      <c r="AO14" s="71"/>
      <c r="AP14" s="71"/>
      <c r="AQ14" s="78">
        <f t="shared" si="1"/>
        <v>0</v>
      </c>
      <c r="AR14" s="78">
        <f t="shared" si="2"/>
        <v>452</v>
      </c>
      <c r="AS14" s="78">
        <f>I14-'2018dram'!B14</f>
        <v>0</v>
      </c>
      <c r="AT14" s="78">
        <f>J14-'2018dram'!C14</f>
        <v>0</v>
      </c>
      <c r="AU14" s="78">
        <f>K14-'2018dram'!D14-B14</f>
        <v>0</v>
      </c>
      <c r="AV14" s="78">
        <f>L14-'2018dram'!E14-C14</f>
        <v>0</v>
      </c>
      <c r="AW14" s="78">
        <f>M14-'2018dram'!F14-D14</f>
        <v>0</v>
      </c>
      <c r="AX14" s="78">
        <f>N14-'2018dram'!G14</f>
        <v>0</v>
      </c>
      <c r="AY14" s="78">
        <f>O14-'2018dram'!H14</f>
        <v>0</v>
      </c>
      <c r="AZ14" s="78">
        <f>P14-'2018dram'!I14</f>
        <v>0</v>
      </c>
      <c r="BA14" s="78">
        <f>Q14-'2018dram'!J14</f>
        <v>0</v>
      </c>
      <c r="BB14" s="78">
        <f>R14-'2018dram'!K14</f>
        <v>0</v>
      </c>
      <c r="BC14" s="78">
        <f>S14-'2018dram'!L14</f>
        <v>0</v>
      </c>
      <c r="BD14" s="78">
        <f>T14-'2018dram'!M14</f>
        <v>0</v>
      </c>
      <c r="BE14" s="78">
        <f>U14-'2018dram'!N14</f>
        <v>0</v>
      </c>
      <c r="BF14" s="78">
        <f>V14-'2018dram'!O14</f>
        <v>0</v>
      </c>
      <c r="BG14" s="78">
        <f>W14-'2018dram'!P14</f>
        <v>0</v>
      </c>
      <c r="BH14" s="78">
        <f>X14-'2018dram'!Q14</f>
        <v>0</v>
      </c>
      <c r="BI14" s="78">
        <f>Y14-'2018dram'!R14</f>
        <v>0</v>
      </c>
      <c r="BJ14" s="78">
        <f>Z14-'2018dram'!S14</f>
        <v>0</v>
      </c>
      <c r="BK14" s="78">
        <f>AA14-'2018dram'!T14</f>
        <v>0</v>
      </c>
      <c r="BL14" s="78">
        <f>AB14-'2018dram'!U14</f>
        <v>0</v>
      </c>
      <c r="BM14" s="78">
        <f>AC14-'2018dram'!V14-F14</f>
        <v>0</v>
      </c>
      <c r="BN14" s="78">
        <f>AD14-'2018dram'!W14</f>
        <v>0</v>
      </c>
      <c r="BO14" s="78">
        <f>AE14-'2018dram'!X14</f>
        <v>0</v>
      </c>
      <c r="BP14" s="78">
        <f>AF14-'2018dram'!Y14</f>
        <v>0</v>
      </c>
      <c r="BQ14" s="296">
        <f>AG14-'2018dram'!Z14</f>
        <v>0</v>
      </c>
      <c r="BR14" s="300">
        <f t="shared" si="7"/>
        <v>0</v>
      </c>
      <c r="BS14" s="298">
        <f>AJ14-'2018dram'!AC14</f>
        <v>0</v>
      </c>
      <c r="BT14" s="77">
        <f>AK14-'2018dram'!AD14-G14</f>
        <v>0</v>
      </c>
      <c r="BU14" s="77">
        <f>AL14-'2018dram'!AE14</f>
        <v>0</v>
      </c>
      <c r="BV14" s="77">
        <f>AM14-'2018dram'!AF14</f>
        <v>0</v>
      </c>
      <c r="BW14" s="77">
        <f>AN14-'2018dram'!AG14</f>
        <v>0</v>
      </c>
      <c r="BX14" s="77">
        <f>AO14-'2018dram'!AH14</f>
        <v>0</v>
      </c>
      <c r="BY14" s="303">
        <f>AP14-'2018dram'!AI14</f>
        <v>0</v>
      </c>
      <c r="BZ14" s="300">
        <f t="shared" si="3"/>
        <v>0</v>
      </c>
      <c r="CA14" s="307">
        <f t="shared" si="4"/>
        <v>0</v>
      </c>
      <c r="CB14" s="461"/>
      <c r="CC14" s="462"/>
      <c r="CD14" s="416">
        <f t="shared" si="5"/>
        <v>0</v>
      </c>
      <c r="CE14" s="216">
        <f t="shared" si="6"/>
        <v>452</v>
      </c>
    </row>
    <row r="15" spans="1:83" s="6" customFormat="1" ht="15" customHeight="1">
      <c r="A15" s="277" t="s">
        <v>103</v>
      </c>
      <c r="B15" s="459"/>
      <c r="C15" s="460"/>
      <c r="D15" s="460"/>
      <c r="E15" s="460"/>
      <c r="F15" s="460"/>
      <c r="G15" s="455"/>
      <c r="H15" s="270">
        <f t="shared" si="8"/>
        <v>0</v>
      </c>
      <c r="I15" s="268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160"/>
      <c r="AH15" s="72"/>
      <c r="AI15" s="76">
        <f t="shared" si="0"/>
        <v>0</v>
      </c>
      <c r="AJ15" s="76"/>
      <c r="AK15" s="70"/>
      <c r="AL15" s="70"/>
      <c r="AM15" s="70"/>
      <c r="AN15" s="70"/>
      <c r="AO15" s="71"/>
      <c r="AP15" s="71"/>
      <c r="AQ15" s="78">
        <f t="shared" si="1"/>
        <v>0</v>
      </c>
      <c r="AR15" s="78">
        <f t="shared" si="2"/>
        <v>0</v>
      </c>
      <c r="AS15" s="78">
        <f>I15-'2018dram'!B15</f>
        <v>0</v>
      </c>
      <c r="AT15" s="78">
        <f>J15-'2018dram'!C15</f>
        <v>0</v>
      </c>
      <c r="AU15" s="78">
        <f>K15-'2018dram'!D15-B15</f>
        <v>0</v>
      </c>
      <c r="AV15" s="78">
        <f>L15-'2018dram'!E15-C15</f>
        <v>0</v>
      </c>
      <c r="AW15" s="78">
        <f>M15-'2018dram'!F15-D15</f>
        <v>0</v>
      </c>
      <c r="AX15" s="78">
        <f>N15-'2018dram'!G15</f>
        <v>0</v>
      </c>
      <c r="AY15" s="78">
        <f>O15-'2018dram'!H15</f>
        <v>0</v>
      </c>
      <c r="AZ15" s="78">
        <f>P15-'2018dram'!I15</f>
        <v>0</v>
      </c>
      <c r="BA15" s="78">
        <f>Q15-'2018dram'!J15</f>
        <v>0</v>
      </c>
      <c r="BB15" s="78">
        <f>R15-'2018dram'!K15</f>
        <v>0</v>
      </c>
      <c r="BC15" s="78">
        <f>S15-'2018dram'!L15</f>
        <v>0</v>
      </c>
      <c r="BD15" s="78">
        <f>T15-'2018dram'!M15</f>
        <v>0</v>
      </c>
      <c r="BE15" s="78">
        <f>U15-'2018dram'!N15</f>
        <v>0</v>
      </c>
      <c r="BF15" s="78">
        <f>V15-'2018dram'!O15</f>
        <v>0</v>
      </c>
      <c r="BG15" s="78">
        <f>W15-'2018dram'!P15</f>
        <v>0</v>
      </c>
      <c r="BH15" s="78">
        <f>X15-'2018dram'!Q15</f>
        <v>0</v>
      </c>
      <c r="BI15" s="78">
        <f>Y15-'2018dram'!R15</f>
        <v>0</v>
      </c>
      <c r="BJ15" s="78">
        <f>Z15-'2018dram'!S15</f>
        <v>0</v>
      </c>
      <c r="BK15" s="78">
        <f>AA15-'2018dram'!T15</f>
        <v>0</v>
      </c>
      <c r="BL15" s="78">
        <f>AB15-'2018dram'!U15</f>
        <v>0</v>
      </c>
      <c r="BM15" s="78">
        <f>AC15-'2018dram'!V15-F15</f>
        <v>0</v>
      </c>
      <c r="BN15" s="78">
        <f>AD15-'2018dram'!W15</f>
        <v>0</v>
      </c>
      <c r="BO15" s="78">
        <f>AE15-'2018dram'!X15</f>
        <v>0</v>
      </c>
      <c r="BP15" s="78">
        <f>AF15-'2018dram'!Y15</f>
        <v>0</v>
      </c>
      <c r="BQ15" s="296">
        <f>AG15-'2018dram'!Z15</f>
        <v>0</v>
      </c>
      <c r="BR15" s="300">
        <f t="shared" si="7"/>
        <v>0</v>
      </c>
      <c r="BS15" s="298">
        <f>AJ15-'2018dram'!AC15</f>
        <v>0</v>
      </c>
      <c r="BT15" s="77">
        <f>AK15-'2018dram'!AD15-G15</f>
        <v>0</v>
      </c>
      <c r="BU15" s="77">
        <f>AL15-'2018dram'!AE15</f>
        <v>0</v>
      </c>
      <c r="BV15" s="77">
        <f>AM15-'2018dram'!AF15</f>
        <v>0</v>
      </c>
      <c r="BW15" s="77">
        <f>AN15-'2018dram'!AG15</f>
        <v>0</v>
      </c>
      <c r="BX15" s="77">
        <f>AO15-'2018dram'!AH15</f>
        <v>0</v>
      </c>
      <c r="BY15" s="303">
        <f>AP15-'2018dram'!AI15</f>
        <v>0</v>
      </c>
      <c r="BZ15" s="300">
        <f t="shared" si="3"/>
        <v>0</v>
      </c>
      <c r="CA15" s="307">
        <f t="shared" si="4"/>
        <v>0</v>
      </c>
      <c r="CB15" s="461"/>
      <c r="CC15" s="462"/>
      <c r="CD15" s="416">
        <f t="shared" si="5"/>
        <v>0</v>
      </c>
      <c r="CE15" s="216">
        <f t="shared" si="6"/>
        <v>0</v>
      </c>
    </row>
    <row r="16" spans="1:83" s="6" customFormat="1" ht="15" customHeight="1">
      <c r="A16" s="277" t="s">
        <v>106</v>
      </c>
      <c r="B16" s="459"/>
      <c r="C16" s="460"/>
      <c r="D16" s="460"/>
      <c r="E16" s="460"/>
      <c r="F16" s="460"/>
      <c r="G16" s="455"/>
      <c r="H16" s="270">
        <f t="shared" si="8"/>
        <v>0</v>
      </c>
      <c r="I16" s="268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160"/>
      <c r="AH16" s="72"/>
      <c r="AI16" s="76">
        <f t="shared" si="0"/>
        <v>0</v>
      </c>
      <c r="AJ16" s="76"/>
      <c r="AK16" s="70"/>
      <c r="AL16" s="70"/>
      <c r="AM16" s="70"/>
      <c r="AN16" s="70"/>
      <c r="AO16" s="71"/>
      <c r="AP16" s="71"/>
      <c r="AQ16" s="78">
        <f t="shared" si="1"/>
        <v>0</v>
      </c>
      <c r="AR16" s="78">
        <f t="shared" si="2"/>
        <v>0</v>
      </c>
      <c r="AS16" s="78">
        <f>I16-'2018dram'!B16</f>
        <v>0</v>
      </c>
      <c r="AT16" s="78">
        <f>J16-'2018dram'!C16</f>
        <v>0</v>
      </c>
      <c r="AU16" s="78">
        <f>K16-'2018dram'!D16-B16</f>
        <v>0</v>
      </c>
      <c r="AV16" s="78">
        <f>L16-'2018dram'!E16-C16</f>
        <v>0</v>
      </c>
      <c r="AW16" s="78">
        <f>M16-'2018dram'!F16-D16</f>
        <v>0</v>
      </c>
      <c r="AX16" s="78">
        <f>N16-'2018dram'!G16</f>
        <v>0</v>
      </c>
      <c r="AY16" s="78">
        <f>O16-'2018dram'!H16</f>
        <v>0</v>
      </c>
      <c r="AZ16" s="78">
        <f>P16-'2018dram'!I16</f>
        <v>0</v>
      </c>
      <c r="BA16" s="78">
        <f>Q16-'2018dram'!J16</f>
        <v>0</v>
      </c>
      <c r="BB16" s="78">
        <f>R16-'2018dram'!K16</f>
        <v>0</v>
      </c>
      <c r="BC16" s="78">
        <f>S16-'2018dram'!L16</f>
        <v>0</v>
      </c>
      <c r="BD16" s="78">
        <f>T16-'2018dram'!M16</f>
        <v>0</v>
      </c>
      <c r="BE16" s="78">
        <f>U16-'2018dram'!N16</f>
        <v>0</v>
      </c>
      <c r="BF16" s="78">
        <f>V16-'2018dram'!O16</f>
        <v>0</v>
      </c>
      <c r="BG16" s="78">
        <f>W16-'2018dram'!P16</f>
        <v>0</v>
      </c>
      <c r="BH16" s="78">
        <f>X16-'2018dram'!Q16</f>
        <v>0</v>
      </c>
      <c r="BI16" s="78">
        <f>Y16-'2018dram'!R16</f>
        <v>0</v>
      </c>
      <c r="BJ16" s="78">
        <f>Z16-'2018dram'!S16</f>
        <v>0</v>
      </c>
      <c r="BK16" s="78">
        <f>AA16-'2018dram'!T16</f>
        <v>0</v>
      </c>
      <c r="BL16" s="78">
        <f>AB16-'2018dram'!U16</f>
        <v>0</v>
      </c>
      <c r="BM16" s="78">
        <f>AC16-'2018dram'!V16-F16</f>
        <v>0</v>
      </c>
      <c r="BN16" s="78">
        <f>AD16-'2018dram'!W16</f>
        <v>0</v>
      </c>
      <c r="BO16" s="78">
        <f>AE16-'2018dram'!X16</f>
        <v>0</v>
      </c>
      <c r="BP16" s="78">
        <f>AF16-'2018dram'!Y16</f>
        <v>0</v>
      </c>
      <c r="BQ16" s="296">
        <f>AG16-'2018dram'!Z16</f>
        <v>0</v>
      </c>
      <c r="BR16" s="300">
        <f t="shared" si="7"/>
        <v>0</v>
      </c>
      <c r="BS16" s="298">
        <f>AJ16-'2018dram'!AC16</f>
        <v>0</v>
      </c>
      <c r="BT16" s="77">
        <f>AK16-'2018dram'!AD16-G16</f>
        <v>0</v>
      </c>
      <c r="BU16" s="77">
        <f>AL16-'2018dram'!AE16</f>
        <v>0</v>
      </c>
      <c r="BV16" s="77">
        <f>AM16-'2018dram'!AF16</f>
        <v>0</v>
      </c>
      <c r="BW16" s="77">
        <f>AN16-'2018dram'!AG16</f>
        <v>0</v>
      </c>
      <c r="BX16" s="77">
        <f>AO16-'2018dram'!AH16</f>
        <v>0</v>
      </c>
      <c r="BY16" s="303">
        <f>AP16-'2018dram'!AI16</f>
        <v>0</v>
      </c>
      <c r="BZ16" s="300">
        <f t="shared" si="3"/>
        <v>0</v>
      </c>
      <c r="CA16" s="307">
        <f t="shared" si="4"/>
        <v>0</v>
      </c>
      <c r="CB16" s="461"/>
      <c r="CC16" s="462"/>
      <c r="CD16" s="416">
        <f t="shared" si="5"/>
        <v>0</v>
      </c>
      <c r="CE16" s="216">
        <f t="shared" si="6"/>
        <v>0</v>
      </c>
    </row>
    <row r="17" spans="1:84" s="6" customFormat="1" ht="15" customHeight="1">
      <c r="A17" s="277" t="s">
        <v>86</v>
      </c>
      <c r="B17" s="459">
        <v>61.3</v>
      </c>
      <c r="C17" s="460">
        <v>0.4</v>
      </c>
      <c r="D17" s="463"/>
      <c r="E17" s="463"/>
      <c r="F17" s="463"/>
      <c r="G17" s="463"/>
      <c r="H17" s="270">
        <f t="shared" si="8"/>
        <v>61.699999999999996</v>
      </c>
      <c r="I17" s="268">
        <v>3565.9</v>
      </c>
      <c r="J17" s="71"/>
      <c r="K17" s="71">
        <v>255.6</v>
      </c>
      <c r="L17" s="71">
        <v>140.2</v>
      </c>
      <c r="M17" s="71">
        <v>45.6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>
        <v>85</v>
      </c>
      <c r="Y17" s="71"/>
      <c r="Z17" s="71">
        <v>278.1</v>
      </c>
      <c r="AA17" s="71"/>
      <c r="AB17" s="71">
        <v>250</v>
      </c>
      <c r="AC17" s="71"/>
      <c r="AD17" s="71"/>
      <c r="AE17" s="71"/>
      <c r="AF17" s="71"/>
      <c r="AG17" s="160"/>
      <c r="AH17" s="70"/>
      <c r="AI17" s="76">
        <f t="shared" si="0"/>
        <v>4620.4</v>
      </c>
      <c r="AJ17" s="76"/>
      <c r="AK17" s="70"/>
      <c r="AL17" s="70"/>
      <c r="AM17" s="70"/>
      <c r="AN17" s="70"/>
      <c r="AO17" s="71"/>
      <c r="AP17" s="71"/>
      <c r="AQ17" s="78">
        <f t="shared" si="1"/>
        <v>0</v>
      </c>
      <c r="AR17" s="164">
        <f t="shared" si="2"/>
        <v>4620.4</v>
      </c>
      <c r="AS17" s="164">
        <f>I17-'2018dram'!B17</f>
        <v>0</v>
      </c>
      <c r="AT17" s="78">
        <f>J17-'2018dram'!C17</f>
        <v>0</v>
      </c>
      <c r="AU17" s="78">
        <f>K17-'2018dram'!D17-B17</f>
        <v>43.3</v>
      </c>
      <c r="AV17" s="78">
        <f>L17-'2018dram'!E17-C17</f>
        <v>46.79999999999999</v>
      </c>
      <c r="AW17" s="78">
        <f>M17-'2018dram'!F17-D17</f>
        <v>15.200000000000003</v>
      </c>
      <c r="AX17" s="164">
        <f>N17-'2018dram'!G17</f>
        <v>0</v>
      </c>
      <c r="AY17" s="164">
        <f>O17-'2018dram'!H17</f>
        <v>0</v>
      </c>
      <c r="AZ17" s="164">
        <f>P17-'2018dram'!I17</f>
        <v>0</v>
      </c>
      <c r="BA17" s="164">
        <f>Q17-'2018dram'!J17</f>
        <v>0</v>
      </c>
      <c r="BB17" s="164">
        <f>R17-'2018dram'!K17</f>
        <v>0</v>
      </c>
      <c r="BC17" s="164">
        <f>S17-'2018dram'!L17</f>
        <v>0</v>
      </c>
      <c r="BD17" s="164">
        <f>T17-'2018dram'!M17</f>
        <v>0</v>
      </c>
      <c r="BE17" s="164">
        <f>U17-'2018dram'!N17</f>
        <v>0</v>
      </c>
      <c r="BF17" s="164">
        <f>V17-'2018dram'!O17</f>
        <v>0</v>
      </c>
      <c r="BG17" s="164">
        <f>W17-'2018dram'!P17</f>
        <v>0</v>
      </c>
      <c r="BH17" s="164">
        <f>X17-'2018dram'!Q17</f>
        <v>0</v>
      </c>
      <c r="BI17" s="164">
        <f>Y17-'2018dram'!R17</f>
        <v>0</v>
      </c>
      <c r="BJ17" s="164">
        <f>Z17-'2018dram'!S17</f>
        <v>0</v>
      </c>
      <c r="BK17" s="164">
        <f>AA17-'2018dram'!T17</f>
        <v>0</v>
      </c>
      <c r="BL17" s="164">
        <f>AB17-'2018dram'!U17</f>
        <v>0</v>
      </c>
      <c r="BM17" s="164">
        <f>AC17-'2018dram'!V17-F17</f>
        <v>0</v>
      </c>
      <c r="BN17" s="164">
        <f>AD17-'2018dram'!W17</f>
        <v>0</v>
      </c>
      <c r="BO17" s="164">
        <f>AE17-'2018dram'!X17</f>
        <v>0</v>
      </c>
      <c r="BP17" s="164">
        <f>AF17-'2018dram'!Y17</f>
        <v>0</v>
      </c>
      <c r="BQ17" s="296">
        <f>AG17-'2018dram'!Z17</f>
        <v>0</v>
      </c>
      <c r="BR17" s="300">
        <f t="shared" si="7"/>
        <v>105.3</v>
      </c>
      <c r="BS17" s="298">
        <f>AJ17-'2018dram'!AC17</f>
        <v>0</v>
      </c>
      <c r="BT17" s="77">
        <f>AK17-'2018dram'!AD17-G17</f>
        <v>0</v>
      </c>
      <c r="BU17" s="77">
        <f>AL17-'2018dram'!AE17</f>
        <v>0</v>
      </c>
      <c r="BV17" s="165">
        <f>AM17-'2018dram'!AF17</f>
        <v>0</v>
      </c>
      <c r="BW17" s="165">
        <f>AN17-'2018dram'!AG17</f>
        <v>0</v>
      </c>
      <c r="BX17" s="165">
        <f>AO17-'2018dram'!AH17</f>
        <v>0</v>
      </c>
      <c r="BY17" s="304">
        <f>AP17-'2018dram'!AI17</f>
        <v>0</v>
      </c>
      <c r="BZ17" s="301">
        <f t="shared" si="3"/>
        <v>0</v>
      </c>
      <c r="CA17" s="308">
        <f t="shared" si="4"/>
        <v>105.3</v>
      </c>
      <c r="CB17" s="461"/>
      <c r="CC17" s="462"/>
      <c r="CD17" s="416">
        <f t="shared" si="5"/>
        <v>0</v>
      </c>
      <c r="CE17" s="216">
        <f t="shared" si="6"/>
        <v>4620.4</v>
      </c>
      <c r="CF17" s="6" t="s">
        <v>16</v>
      </c>
    </row>
    <row r="18" spans="1:83" s="6" customFormat="1" ht="15" customHeight="1">
      <c r="A18" s="277" t="s">
        <v>170</v>
      </c>
      <c r="B18" s="447"/>
      <c r="C18" s="464"/>
      <c r="D18" s="463"/>
      <c r="E18" s="463"/>
      <c r="F18" s="463"/>
      <c r="G18" s="463"/>
      <c r="H18" s="270">
        <f t="shared" si="8"/>
        <v>0</v>
      </c>
      <c r="I18" s="268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160"/>
      <c r="AH18" s="70"/>
      <c r="AI18" s="76">
        <f t="shared" si="0"/>
        <v>0</v>
      </c>
      <c r="AJ18" s="76"/>
      <c r="AK18" s="70"/>
      <c r="AL18" s="70"/>
      <c r="AM18" s="70"/>
      <c r="AN18" s="70"/>
      <c r="AO18" s="71"/>
      <c r="AP18" s="71"/>
      <c r="AQ18" s="78">
        <f t="shared" si="1"/>
        <v>0</v>
      </c>
      <c r="AR18" s="164">
        <f>AI18+AQ18</f>
        <v>0</v>
      </c>
      <c r="AS18" s="164">
        <f>I18-'2018dram'!B18</f>
        <v>0</v>
      </c>
      <c r="AT18" s="164">
        <f>J18-'2018dram'!C18</f>
        <v>0</v>
      </c>
      <c r="AU18" s="78">
        <f>K18-'2018dram'!D18-B18</f>
        <v>0</v>
      </c>
      <c r="AV18" s="164">
        <f>L18-'2018dram'!E18-C18</f>
        <v>0</v>
      </c>
      <c r="AW18" s="164">
        <f>M18-'2018dram'!F18-D18</f>
        <v>0</v>
      </c>
      <c r="AX18" s="164">
        <f>N18-'2018dram'!G18</f>
        <v>0</v>
      </c>
      <c r="AY18" s="164">
        <f>O18-'2018dram'!H18</f>
        <v>0</v>
      </c>
      <c r="AZ18" s="164">
        <f>P18-'2018dram'!I18</f>
        <v>0</v>
      </c>
      <c r="BA18" s="164">
        <f>Q18-'2018dram'!J18</f>
        <v>0</v>
      </c>
      <c r="BB18" s="164">
        <f>R18-'2018dram'!K18</f>
        <v>0</v>
      </c>
      <c r="BC18" s="164">
        <f>S18-'2018dram'!L18</f>
        <v>0</v>
      </c>
      <c r="BD18" s="164">
        <f>T18-'2018dram'!M18</f>
        <v>0</v>
      </c>
      <c r="BE18" s="164">
        <f>U18-'2018dram'!N18</f>
        <v>0</v>
      </c>
      <c r="BF18" s="164">
        <f>V18-'2018dram'!O18</f>
        <v>0</v>
      </c>
      <c r="BG18" s="164">
        <f>W18-'2018dram'!P18</f>
        <v>0</v>
      </c>
      <c r="BH18" s="164">
        <f>X18-'2018dram'!Q18</f>
        <v>0</v>
      </c>
      <c r="BI18" s="164">
        <f>Y18-'2018dram'!R18</f>
        <v>0</v>
      </c>
      <c r="BJ18" s="164">
        <f>Z18-'2018dram'!S18</f>
        <v>0</v>
      </c>
      <c r="BK18" s="164">
        <f>AA18-'2018dram'!T18</f>
        <v>0</v>
      </c>
      <c r="BL18" s="164">
        <f>AB18-'2018dram'!U18</f>
        <v>0</v>
      </c>
      <c r="BM18" s="164">
        <f>AC18-'2018dram'!V18-F18</f>
        <v>0</v>
      </c>
      <c r="BN18" s="164">
        <f>AD18-'2018dram'!W18</f>
        <v>0</v>
      </c>
      <c r="BO18" s="164">
        <f>AE18-'2018dram'!X18</f>
        <v>0</v>
      </c>
      <c r="BP18" s="164">
        <f>AF18-'2018dram'!Y18</f>
        <v>0</v>
      </c>
      <c r="BQ18" s="296">
        <f>AG18-'2018dram'!Z18</f>
        <v>0</v>
      </c>
      <c r="BR18" s="301">
        <f>AS18+AT18+AU18+AV18+AW18+AX18+AY18+AZ18+BA18+BB18+BC18+BD18+BE18+BF18+BG18+BH18+BI18+BJ18+BK18+BL18+BM18+BN18+BO18+BP18+BQ18</f>
        <v>0</v>
      </c>
      <c r="BS18" s="298">
        <f>AJ18-'2018dram'!AC18</f>
        <v>0</v>
      </c>
      <c r="BT18" s="77">
        <f>AK18-'2018dram'!AD18-G18</f>
        <v>0</v>
      </c>
      <c r="BU18" s="77">
        <f>AL18-'2018dram'!AE18</f>
        <v>0</v>
      </c>
      <c r="BV18" s="165">
        <f>AM18-'2018dram'!AF18</f>
        <v>0</v>
      </c>
      <c r="BW18" s="165">
        <f>AN18-'2018dram'!AG18</f>
        <v>0</v>
      </c>
      <c r="BX18" s="165">
        <f>AO18-'2018dram'!AH18</f>
        <v>0</v>
      </c>
      <c r="BY18" s="304">
        <f>AP18-'2018dram'!AI18</f>
        <v>0</v>
      </c>
      <c r="BZ18" s="301">
        <f>BT18+BU18+BV18+BW18+BX18+BY18</f>
        <v>0</v>
      </c>
      <c r="CA18" s="308">
        <f>BR18+BZ18</f>
        <v>0</v>
      </c>
      <c r="CB18" s="465"/>
      <c r="CC18" s="462">
        <v>-3929.6</v>
      </c>
      <c r="CD18" s="416">
        <f t="shared" si="5"/>
        <v>-3929.6</v>
      </c>
      <c r="CE18" s="216">
        <f t="shared" si="6"/>
        <v>-3929.6</v>
      </c>
    </row>
    <row r="19" spans="1:83" s="6" customFormat="1" ht="15" customHeight="1" thickBot="1">
      <c r="A19" s="272" t="s">
        <v>169</v>
      </c>
      <c r="B19" s="448"/>
      <c r="C19" s="466"/>
      <c r="D19" s="467"/>
      <c r="E19" s="467"/>
      <c r="F19" s="467"/>
      <c r="G19" s="467"/>
      <c r="H19" s="270">
        <f t="shared" si="8"/>
        <v>0</v>
      </c>
      <c r="I19" s="269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3"/>
      <c r="AH19" s="158"/>
      <c r="AI19" s="76">
        <f t="shared" si="0"/>
        <v>0</v>
      </c>
      <c r="AJ19" s="161"/>
      <c r="AK19" s="158"/>
      <c r="AL19" s="158"/>
      <c r="AM19" s="158"/>
      <c r="AN19" s="158"/>
      <c r="AO19" s="162"/>
      <c r="AP19" s="162"/>
      <c r="AQ19" s="78">
        <f t="shared" si="1"/>
        <v>0</v>
      </c>
      <c r="AR19" s="164">
        <f>AI19+AQ19</f>
        <v>0</v>
      </c>
      <c r="AS19" s="164">
        <f>I19-'2018dram'!B19</f>
        <v>0</v>
      </c>
      <c r="AT19" s="164">
        <f>J19-'2018dram'!C19</f>
        <v>0</v>
      </c>
      <c r="AU19" s="78">
        <f>K19-'2018dram'!D19-B19</f>
        <v>0</v>
      </c>
      <c r="AV19" s="164">
        <f>L19-'2018dram'!E19-C19</f>
        <v>0</v>
      </c>
      <c r="AW19" s="164">
        <f>M19-'2018dram'!F19-D19</f>
        <v>0</v>
      </c>
      <c r="AX19" s="164">
        <f>N19-'2018dram'!G19</f>
        <v>0</v>
      </c>
      <c r="AY19" s="164">
        <f>O19-'2018dram'!H19</f>
        <v>0</v>
      </c>
      <c r="AZ19" s="164">
        <f>P19-'2018dram'!I19</f>
        <v>0</v>
      </c>
      <c r="BA19" s="164">
        <f>Q19-'2018dram'!J19</f>
        <v>0</v>
      </c>
      <c r="BB19" s="164">
        <f>R19-'2018dram'!K19</f>
        <v>0</v>
      </c>
      <c r="BC19" s="164">
        <f>S19-'2018dram'!L19</f>
        <v>0</v>
      </c>
      <c r="BD19" s="164">
        <f>T19-'2018dram'!M19</f>
        <v>0</v>
      </c>
      <c r="BE19" s="164">
        <f>U19-'2018dram'!N19</f>
        <v>0</v>
      </c>
      <c r="BF19" s="164">
        <f>V19-'2018dram'!O19</f>
        <v>0</v>
      </c>
      <c r="BG19" s="164">
        <f>W19-'2018dram'!P19</f>
        <v>0</v>
      </c>
      <c r="BH19" s="164">
        <f>X19-'2018dram'!Q19</f>
        <v>0</v>
      </c>
      <c r="BI19" s="164">
        <f>Y19-'2018dram'!R19</f>
        <v>0</v>
      </c>
      <c r="BJ19" s="164">
        <f>Z19-'2018dram'!S19</f>
        <v>0</v>
      </c>
      <c r="BK19" s="164">
        <f>AA19-'2018dram'!T19</f>
        <v>0</v>
      </c>
      <c r="BL19" s="164">
        <f>AB19-'2018dram'!U19</f>
        <v>0</v>
      </c>
      <c r="BM19" s="164">
        <f>AC19-'2018dram'!V19-F19</f>
        <v>0</v>
      </c>
      <c r="BN19" s="164">
        <f>AD19-'2018dram'!W19</f>
        <v>0</v>
      </c>
      <c r="BO19" s="164">
        <f>AE19-'2018dram'!X19</f>
        <v>0</v>
      </c>
      <c r="BP19" s="164">
        <f>AF19-'2018dram'!Y19</f>
        <v>0</v>
      </c>
      <c r="BQ19" s="296">
        <f>AG19-'2018dram'!Z19</f>
        <v>0</v>
      </c>
      <c r="BR19" s="301">
        <f>AS19+AT19+AU19+AV19+AW19+AX19+AY19+AZ19+BA19+BB19+BC19+BD19+BE19+BF19+BG19+BH19+BI19+BJ19+BK19+BL19+BM19+BN19+BO19+BP19+BQ19</f>
        <v>0</v>
      </c>
      <c r="BS19" s="298">
        <f>AJ19-'2018dram'!AC19</f>
        <v>0</v>
      </c>
      <c r="BT19" s="77">
        <f>AK19-'2018dram'!AD19-G19</f>
        <v>0</v>
      </c>
      <c r="BU19" s="77">
        <f>AL19-'2018dram'!AE19</f>
        <v>0</v>
      </c>
      <c r="BV19" s="165">
        <f>AM19-'2018dram'!AF19</f>
        <v>0</v>
      </c>
      <c r="BW19" s="165">
        <f>AN19-'2018dram'!AG19</f>
        <v>0</v>
      </c>
      <c r="BX19" s="165">
        <f>AO19-'2018dram'!AH19</f>
        <v>0</v>
      </c>
      <c r="BY19" s="304">
        <f>AP19-'2018dram'!AI19</f>
        <v>0</v>
      </c>
      <c r="BZ19" s="301">
        <f>BT19+BU19+BV19+BW19+BX19+BY19</f>
        <v>0</v>
      </c>
      <c r="CA19" s="308">
        <f>BR19+BZ19</f>
        <v>0</v>
      </c>
      <c r="CB19" s="465"/>
      <c r="CC19" s="468"/>
      <c r="CD19" s="469">
        <f t="shared" si="5"/>
        <v>0</v>
      </c>
      <c r="CE19" s="216">
        <f t="shared" si="6"/>
        <v>0</v>
      </c>
    </row>
    <row r="20" spans="1:83" s="6" customFormat="1" ht="26.25" customHeight="1" thickBot="1">
      <c r="A20" s="339" t="s">
        <v>202</v>
      </c>
      <c r="B20" s="470">
        <f>B5+B6+B7+B8+B9+B10+B11+B12+B13+B14+B15+B16+B17+B18+B19</f>
        <v>441.8</v>
      </c>
      <c r="C20" s="471">
        <f aca="true" t="shared" si="9" ref="C20:BP20">C5+C6+C7+C8+C9+C10+C11+C12+C13+C14+C15+C16+C17+C18+C19</f>
        <v>10.5</v>
      </c>
      <c r="D20" s="471">
        <f t="shared" si="9"/>
        <v>112.3</v>
      </c>
      <c r="E20" s="471">
        <f t="shared" si="9"/>
        <v>-1071.6</v>
      </c>
      <c r="F20" s="471">
        <f t="shared" si="9"/>
        <v>0</v>
      </c>
      <c r="G20" s="471">
        <f t="shared" si="9"/>
        <v>10478.3</v>
      </c>
      <c r="H20" s="472">
        <f t="shared" si="9"/>
        <v>9971.3</v>
      </c>
      <c r="I20" s="473">
        <f t="shared" si="9"/>
        <v>38876.00000000001</v>
      </c>
      <c r="J20" s="543">
        <f t="shared" si="9"/>
        <v>380</v>
      </c>
      <c r="K20" s="471">
        <f t="shared" si="9"/>
        <v>2873.8</v>
      </c>
      <c r="L20" s="471">
        <f t="shared" si="9"/>
        <v>170.1</v>
      </c>
      <c r="M20" s="471">
        <f t="shared" si="9"/>
        <v>898.8000000000001</v>
      </c>
      <c r="N20" s="471">
        <f t="shared" si="9"/>
        <v>0</v>
      </c>
      <c r="O20" s="471">
        <f t="shared" si="9"/>
        <v>22.8</v>
      </c>
      <c r="P20" s="471">
        <f t="shared" si="9"/>
        <v>0</v>
      </c>
      <c r="Q20" s="471">
        <f t="shared" si="9"/>
        <v>152.4</v>
      </c>
      <c r="R20" s="471">
        <f t="shared" si="9"/>
        <v>0</v>
      </c>
      <c r="S20" s="543">
        <f t="shared" si="9"/>
        <v>780</v>
      </c>
      <c r="T20" s="471">
        <f t="shared" si="9"/>
        <v>509.6</v>
      </c>
      <c r="U20" s="471">
        <f t="shared" si="9"/>
        <v>1036.2</v>
      </c>
      <c r="V20" s="471">
        <f t="shared" si="9"/>
        <v>0</v>
      </c>
      <c r="W20" s="543">
        <f t="shared" si="9"/>
        <v>146</v>
      </c>
      <c r="X20" s="471">
        <f t="shared" si="9"/>
        <v>984.2</v>
      </c>
      <c r="Y20" s="471">
        <f t="shared" si="9"/>
        <v>0</v>
      </c>
      <c r="Z20" s="471">
        <f t="shared" si="9"/>
        <v>10727.1</v>
      </c>
      <c r="AA20" s="471">
        <f t="shared" si="9"/>
        <v>148.4</v>
      </c>
      <c r="AB20" s="471">
        <f t="shared" si="9"/>
        <v>250</v>
      </c>
      <c r="AC20" s="471">
        <f t="shared" si="9"/>
        <v>0</v>
      </c>
      <c r="AD20" s="471">
        <f t="shared" si="9"/>
        <v>0</v>
      </c>
      <c r="AE20" s="471">
        <f t="shared" si="9"/>
        <v>784.4</v>
      </c>
      <c r="AF20" s="543">
        <f t="shared" si="9"/>
        <v>400</v>
      </c>
      <c r="AG20" s="471">
        <f t="shared" si="9"/>
        <v>963.1999999999999</v>
      </c>
      <c r="AH20" s="471">
        <f t="shared" si="9"/>
        <v>0</v>
      </c>
      <c r="AI20" s="471">
        <f>AI5+AI6+AI7+AI8+AI9+AI10+AI11+AI12+AI13+AI14+AI15+AI16+AI17+AI18+AI19</f>
        <v>60103.00000000001</v>
      </c>
      <c r="AJ20" s="471">
        <f>AJ5+AJ6+AJ7+AJ8+AJ9+AJ10+AJ11+AJ12+AJ13+AJ14+AJ15+AJ16+AJ17+AJ18+AJ19</f>
        <v>0</v>
      </c>
      <c r="AK20" s="471">
        <f>AK5+AK6+AK7+AK8+AK9+AK10+AK11+AK12+AK13+AK14+AK15+AK16+AK17+AK18+AK19</f>
        <v>8108.6</v>
      </c>
      <c r="AL20" s="471">
        <f t="shared" si="9"/>
        <v>0</v>
      </c>
      <c r="AM20" s="471">
        <f t="shared" si="9"/>
        <v>0</v>
      </c>
      <c r="AN20" s="471">
        <f t="shared" si="9"/>
        <v>1475</v>
      </c>
      <c r="AO20" s="471">
        <f t="shared" si="9"/>
        <v>0</v>
      </c>
      <c r="AP20" s="471">
        <f>AP5+AP6+AP7+AP8+AP9+AP10+AP11+AP12+AP13+AP14+AP15+AP16+AP17+AP18+AP19</f>
        <v>1000</v>
      </c>
      <c r="AQ20" s="471">
        <f>AQ5+AQ6+AQ7+AQ8+AQ9+AQ10+AQ11+AQ12+AQ13+AQ14+AQ15+AQ16+AQ17+AQ18+AQ19</f>
        <v>10583.6</v>
      </c>
      <c r="AR20" s="471">
        <f>AR5+AR6+AR7+AR8+AR9+AR10+AR11+AR12+AR13+AR14+AR15+AR16+AR17+AR18+AR19</f>
        <v>70686.6</v>
      </c>
      <c r="AS20" s="471">
        <f>AS5+AS6+AS7+AS8+AS9+AS10+AS11+AS12+AS13+AS14+AS15+AS16+AS17+AS18+AS19</f>
        <v>-240.79999999999927</v>
      </c>
      <c r="AT20" s="471">
        <f t="shared" si="9"/>
        <v>0</v>
      </c>
      <c r="AU20" s="471">
        <f t="shared" si="9"/>
        <v>611.7</v>
      </c>
      <c r="AV20" s="471">
        <f t="shared" si="9"/>
        <v>56.59999999999999</v>
      </c>
      <c r="AW20" s="471">
        <f t="shared" si="9"/>
        <v>231.39999999999998</v>
      </c>
      <c r="AX20" s="471">
        <f t="shared" si="9"/>
        <v>0</v>
      </c>
      <c r="AY20" s="471">
        <f t="shared" si="9"/>
        <v>0</v>
      </c>
      <c r="AZ20" s="471">
        <f t="shared" si="9"/>
        <v>0</v>
      </c>
      <c r="BA20" s="471">
        <f t="shared" si="9"/>
        <v>22</v>
      </c>
      <c r="BB20" s="471">
        <f t="shared" si="9"/>
        <v>0</v>
      </c>
      <c r="BC20" s="471">
        <f t="shared" si="9"/>
        <v>0</v>
      </c>
      <c r="BD20" s="471">
        <f t="shared" si="9"/>
        <v>0</v>
      </c>
      <c r="BE20" s="471">
        <f t="shared" si="9"/>
        <v>0</v>
      </c>
      <c r="BF20" s="471">
        <f t="shared" si="9"/>
        <v>1071.6</v>
      </c>
      <c r="BG20" s="471">
        <f t="shared" si="9"/>
        <v>0</v>
      </c>
      <c r="BH20" s="471">
        <f t="shared" si="9"/>
        <v>8</v>
      </c>
      <c r="BI20" s="471">
        <f t="shared" si="9"/>
        <v>0</v>
      </c>
      <c r="BJ20" s="471">
        <f t="shared" si="9"/>
        <v>0</v>
      </c>
      <c r="BK20" s="471">
        <f t="shared" si="9"/>
        <v>0</v>
      </c>
      <c r="BL20" s="471">
        <f t="shared" si="9"/>
        <v>0</v>
      </c>
      <c r="BM20" s="471">
        <f t="shared" si="9"/>
        <v>0</v>
      </c>
      <c r="BN20" s="471">
        <f t="shared" si="9"/>
        <v>0</v>
      </c>
      <c r="BO20" s="471">
        <f t="shared" si="9"/>
        <v>0</v>
      </c>
      <c r="BP20" s="471">
        <f t="shared" si="9"/>
        <v>0</v>
      </c>
      <c r="BQ20" s="474">
        <f aca="true" t="shared" si="10" ref="BQ20:CE20">BQ5+BQ6+BQ7+BQ8+BQ9+BQ10+BQ11+BQ12+BQ13+BQ14+BQ15+BQ16+BQ17+BQ18+BQ19</f>
        <v>920.4</v>
      </c>
      <c r="BR20" s="475">
        <f>BR5+BR6+BR7+BR8+BR9+BR10+BR11+BR12+BR13+BR14+BR15+BR16+BR17+BR18+BR19</f>
        <v>2680.900000000001</v>
      </c>
      <c r="BS20" s="473">
        <f>BS5+BS6+BS7+BS8+BS9+BS10+BS11+BS12+BS13+BS14+BS15+BS16+BS17+BS18+BS19</f>
        <v>0</v>
      </c>
      <c r="BT20" s="471">
        <f>BT5+BT6+BT7+BT8+BT9+BT10+BT11+BT12+BT13+BT14+BT15+BT16+BT17+BT18+BT19</f>
        <v>-2554.699999999999</v>
      </c>
      <c r="BU20" s="471">
        <f>BU5+BU6+BU7+BU8+BU9+BU10+BU11+BU12+BU13+BU14+BU15+BU16+BU17+BU18+BU19</f>
        <v>0</v>
      </c>
      <c r="BV20" s="471">
        <f>BV5+BV6+BV7+BV8+BV9+BV10+BV11+BV12+BV13+BV14+BV15+BV16+BV17+BV18+BV19</f>
        <v>0</v>
      </c>
      <c r="BW20" s="471">
        <f t="shared" si="10"/>
        <v>0</v>
      </c>
      <c r="BX20" s="471">
        <f t="shared" si="10"/>
        <v>0</v>
      </c>
      <c r="BY20" s="545">
        <f t="shared" si="10"/>
        <v>70</v>
      </c>
      <c r="BZ20" s="475">
        <f t="shared" si="10"/>
        <v>-2484.699999999999</v>
      </c>
      <c r="CA20" s="475">
        <f t="shared" si="10"/>
        <v>196.2000000000018</v>
      </c>
      <c r="CB20" s="473">
        <f t="shared" si="10"/>
        <v>0</v>
      </c>
      <c r="CC20" s="471">
        <f t="shared" si="10"/>
        <v>-3929.6</v>
      </c>
      <c r="CD20" s="474">
        <f t="shared" si="10"/>
        <v>-3929.6</v>
      </c>
      <c r="CE20" s="475">
        <f t="shared" si="10"/>
        <v>66757</v>
      </c>
    </row>
    <row r="21" spans="1:84" s="8" customFormat="1" ht="15.75" customHeight="1">
      <c r="A21" s="310" t="s">
        <v>145</v>
      </c>
      <c r="B21" s="476"/>
      <c r="C21" s="477"/>
      <c r="D21" s="477"/>
      <c r="E21" s="477"/>
      <c r="F21" s="478">
        <f>'hoaki past18'!F4</f>
        <v>69.7</v>
      </c>
      <c r="G21" s="479"/>
      <c r="H21" s="270">
        <f aca="true" t="shared" si="11" ref="H21:H43">B21+C21+D21+F21+G21</f>
        <v>69.7</v>
      </c>
      <c r="I21" s="480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81">
        <f>'hoaki past18'!I4</f>
        <v>3531.7999999999997</v>
      </c>
      <c r="AD21" s="422"/>
      <c r="AE21" s="422"/>
      <c r="AF21" s="422"/>
      <c r="AG21" s="423"/>
      <c r="AH21" s="422"/>
      <c r="AI21" s="76">
        <f aca="true" t="shared" si="12" ref="AI21:AI32">I21+J21+K21+L21+M21+N21+O21+P21+Q21+R21+S21+T21+U21+V21+W21+X21+Y21+Z21+AA21+AB21+AC21+AD21+AE21+AF21+AG21</f>
        <v>3531.7999999999997</v>
      </c>
      <c r="AJ21" s="76"/>
      <c r="AK21" s="422"/>
      <c r="AL21" s="422"/>
      <c r="AM21" s="422"/>
      <c r="AN21" s="422"/>
      <c r="AO21" s="422"/>
      <c r="AP21" s="422"/>
      <c r="AQ21" s="78">
        <f t="shared" si="1"/>
        <v>0</v>
      </c>
      <c r="AR21" s="78">
        <f t="shared" si="2"/>
        <v>3531.7999999999997</v>
      </c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>
        <f>AC21-'2018dram'!V21-F21</f>
        <v>77.8999999999999</v>
      </c>
      <c r="BN21" s="78"/>
      <c r="BO21" s="78"/>
      <c r="BP21" s="78"/>
      <c r="BQ21" s="296"/>
      <c r="BR21" s="300">
        <f t="shared" si="7"/>
        <v>77.8999999999999</v>
      </c>
      <c r="BS21" s="335"/>
      <c r="BT21" s="482"/>
      <c r="BU21" s="482"/>
      <c r="BV21" s="482"/>
      <c r="BW21" s="482"/>
      <c r="BX21" s="482"/>
      <c r="BY21" s="483"/>
      <c r="BZ21" s="336"/>
      <c r="CA21" s="307">
        <f t="shared" si="4"/>
        <v>77.8999999999999</v>
      </c>
      <c r="CB21" s="461"/>
      <c r="CC21" s="462"/>
      <c r="CD21" s="416">
        <f t="shared" si="5"/>
        <v>0</v>
      </c>
      <c r="CE21" s="216">
        <f t="shared" si="6"/>
        <v>3531.7999999999997</v>
      </c>
      <c r="CF21" s="484"/>
    </row>
    <row r="22" spans="1:84" s="8" customFormat="1" ht="15.75" customHeight="1">
      <c r="A22" s="310" t="s">
        <v>144</v>
      </c>
      <c r="B22" s="485"/>
      <c r="C22" s="479"/>
      <c r="D22" s="479"/>
      <c r="E22" s="479"/>
      <c r="F22" s="478">
        <f>'hoaki past18'!F5</f>
        <v>0.8999999999999999</v>
      </c>
      <c r="G22" s="479"/>
      <c r="H22" s="270">
        <f t="shared" si="11"/>
        <v>0.8999999999999999</v>
      </c>
      <c r="I22" s="486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81">
        <f>'hoaki past18'!I5</f>
        <v>2603.2000000000003</v>
      </c>
      <c r="AD22" s="404"/>
      <c r="AE22" s="404"/>
      <c r="AF22" s="404"/>
      <c r="AG22" s="405"/>
      <c r="AH22" s="422"/>
      <c r="AI22" s="76">
        <f t="shared" si="12"/>
        <v>2603.2000000000003</v>
      </c>
      <c r="AJ22" s="76"/>
      <c r="AK22" s="404"/>
      <c r="AL22" s="404"/>
      <c r="AM22" s="404"/>
      <c r="AN22" s="404"/>
      <c r="AO22" s="404"/>
      <c r="AP22" s="404"/>
      <c r="AQ22" s="78">
        <f t="shared" si="1"/>
        <v>0</v>
      </c>
      <c r="AR22" s="78">
        <f t="shared" si="2"/>
        <v>2603.2000000000003</v>
      </c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>
        <f>AC22-'2018dram'!V22-F22</f>
        <v>12.50000000000009</v>
      </c>
      <c r="BN22" s="78"/>
      <c r="BO22" s="78"/>
      <c r="BP22" s="78"/>
      <c r="BQ22" s="296"/>
      <c r="BR22" s="300">
        <f t="shared" si="7"/>
        <v>12.50000000000009</v>
      </c>
      <c r="BS22" s="335"/>
      <c r="BT22" s="482"/>
      <c r="BU22" s="482"/>
      <c r="BV22" s="482"/>
      <c r="BW22" s="482"/>
      <c r="BX22" s="482"/>
      <c r="BY22" s="483"/>
      <c r="BZ22" s="336"/>
      <c r="CA22" s="307">
        <f t="shared" si="4"/>
        <v>12.50000000000009</v>
      </c>
      <c r="CB22" s="461"/>
      <c r="CC22" s="462"/>
      <c r="CD22" s="416">
        <f t="shared" si="5"/>
        <v>0</v>
      </c>
      <c r="CE22" s="216">
        <f t="shared" si="6"/>
        <v>2603.2000000000003</v>
      </c>
      <c r="CF22" s="484"/>
    </row>
    <row r="23" spans="1:84" s="8" customFormat="1" ht="15.75" customHeight="1">
      <c r="A23" s="310" t="s">
        <v>143</v>
      </c>
      <c r="B23" s="487"/>
      <c r="C23" s="488"/>
      <c r="D23" s="488"/>
      <c r="E23" s="479"/>
      <c r="F23" s="478">
        <f>'hoaki past18'!F6</f>
        <v>23.900000000000002</v>
      </c>
      <c r="G23" s="479"/>
      <c r="H23" s="270">
        <f t="shared" si="11"/>
        <v>23.900000000000002</v>
      </c>
      <c r="I23" s="486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81">
        <f>'hoaki past18'!I6</f>
        <v>2547.0000000000005</v>
      </c>
      <c r="AD23" s="404"/>
      <c r="AE23" s="404"/>
      <c r="AF23" s="404"/>
      <c r="AG23" s="405"/>
      <c r="AH23" s="422"/>
      <c r="AI23" s="76">
        <f t="shared" si="12"/>
        <v>2547.0000000000005</v>
      </c>
      <c r="AJ23" s="76"/>
      <c r="AK23" s="404"/>
      <c r="AL23" s="404"/>
      <c r="AM23" s="404"/>
      <c r="AN23" s="404"/>
      <c r="AO23" s="404"/>
      <c r="AP23" s="404"/>
      <c r="AQ23" s="78">
        <f t="shared" si="1"/>
        <v>0</v>
      </c>
      <c r="AR23" s="78">
        <f t="shared" si="2"/>
        <v>2547.0000000000005</v>
      </c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f>AC23-'2018dram'!V23-F23</f>
        <v>-15.299999999999638</v>
      </c>
      <c r="BN23" s="78"/>
      <c r="BO23" s="78"/>
      <c r="BP23" s="78"/>
      <c r="BQ23" s="296"/>
      <c r="BR23" s="300">
        <f t="shared" si="7"/>
        <v>-15.299999999999638</v>
      </c>
      <c r="BS23" s="335"/>
      <c r="BT23" s="482"/>
      <c r="BU23" s="482"/>
      <c r="BV23" s="482"/>
      <c r="BW23" s="482"/>
      <c r="BX23" s="482"/>
      <c r="BY23" s="483"/>
      <c r="BZ23" s="336"/>
      <c r="CA23" s="307">
        <f t="shared" si="4"/>
        <v>-15.299999999999638</v>
      </c>
      <c r="CB23" s="461"/>
      <c r="CC23" s="462"/>
      <c r="CD23" s="416">
        <f t="shared" si="5"/>
        <v>0</v>
      </c>
      <c r="CE23" s="216">
        <f t="shared" si="6"/>
        <v>2547.0000000000005</v>
      </c>
      <c r="CF23" s="484"/>
    </row>
    <row r="24" spans="1:84" s="8" customFormat="1" ht="15.75" customHeight="1">
      <c r="A24" s="310" t="s">
        <v>142</v>
      </c>
      <c r="B24" s="487"/>
      <c r="C24" s="488"/>
      <c r="D24" s="488"/>
      <c r="E24" s="479"/>
      <c r="F24" s="478">
        <f>'hoaki past18'!F7</f>
        <v>240.79999999999998</v>
      </c>
      <c r="G24" s="479"/>
      <c r="H24" s="270">
        <f t="shared" si="11"/>
        <v>240.79999999999998</v>
      </c>
      <c r="I24" s="486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81">
        <f>'hoaki past18'!I7</f>
        <v>4533</v>
      </c>
      <c r="AD24" s="404"/>
      <c r="AE24" s="404"/>
      <c r="AF24" s="404"/>
      <c r="AG24" s="405"/>
      <c r="AH24" s="422"/>
      <c r="AI24" s="76">
        <f t="shared" si="12"/>
        <v>4533</v>
      </c>
      <c r="AJ24" s="76"/>
      <c r="AK24" s="404"/>
      <c r="AL24" s="404"/>
      <c r="AM24" s="404"/>
      <c r="AN24" s="404"/>
      <c r="AO24" s="404"/>
      <c r="AP24" s="404"/>
      <c r="AQ24" s="78">
        <f t="shared" si="1"/>
        <v>0</v>
      </c>
      <c r="AR24" s="78">
        <f t="shared" si="2"/>
        <v>4533</v>
      </c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>
        <f>AC24-'2018dram'!V24-F24</f>
        <v>-74.90000000000035</v>
      </c>
      <c r="BN24" s="78"/>
      <c r="BO24" s="78"/>
      <c r="BP24" s="78"/>
      <c r="BQ24" s="296"/>
      <c r="BR24" s="300">
        <f t="shared" si="7"/>
        <v>-74.90000000000035</v>
      </c>
      <c r="BS24" s="335"/>
      <c r="BT24" s="482"/>
      <c r="BU24" s="482"/>
      <c r="BV24" s="482"/>
      <c r="BW24" s="482"/>
      <c r="BX24" s="482"/>
      <c r="BY24" s="483"/>
      <c r="BZ24" s="336"/>
      <c r="CA24" s="307">
        <f t="shared" si="4"/>
        <v>-74.90000000000035</v>
      </c>
      <c r="CB24" s="461"/>
      <c r="CC24" s="462"/>
      <c r="CD24" s="416">
        <f t="shared" si="5"/>
        <v>0</v>
      </c>
      <c r="CE24" s="216">
        <f t="shared" si="6"/>
        <v>4533</v>
      </c>
      <c r="CF24" s="484"/>
    </row>
    <row r="25" spans="1:84" s="8" customFormat="1" ht="15.75" customHeight="1">
      <c r="A25" s="310" t="s">
        <v>141</v>
      </c>
      <c r="B25" s="487"/>
      <c r="C25" s="488"/>
      <c r="D25" s="488"/>
      <c r="E25" s="479"/>
      <c r="F25" s="478">
        <f>'hoaki past18'!F8</f>
        <v>6.4</v>
      </c>
      <c r="G25" s="479"/>
      <c r="H25" s="270">
        <f t="shared" si="11"/>
        <v>6.4</v>
      </c>
      <c r="I25" s="486"/>
      <c r="J25" s="404"/>
      <c r="K25" s="404"/>
      <c r="L25" s="404"/>
      <c r="M25" s="404"/>
      <c r="N25" s="404"/>
      <c r="O25" s="404"/>
      <c r="P25" s="404"/>
      <c r="Q25" s="404"/>
      <c r="R25" s="404"/>
      <c r="S25" s="484"/>
      <c r="T25" s="404"/>
      <c r="U25" s="404"/>
      <c r="V25" s="404"/>
      <c r="W25" s="404"/>
      <c r="X25" s="404"/>
      <c r="Y25" s="404"/>
      <c r="Z25" s="404"/>
      <c r="AA25" s="404"/>
      <c r="AB25" s="404"/>
      <c r="AC25" s="481">
        <f>'hoaki past18'!I8</f>
        <v>2635.8</v>
      </c>
      <c r="AD25" s="404"/>
      <c r="AE25" s="404"/>
      <c r="AF25" s="404"/>
      <c r="AG25" s="405"/>
      <c r="AH25" s="422"/>
      <c r="AI25" s="76">
        <f t="shared" si="12"/>
        <v>2635.8</v>
      </c>
      <c r="AJ25" s="76"/>
      <c r="AK25" s="404"/>
      <c r="AL25" s="404"/>
      <c r="AM25" s="404"/>
      <c r="AN25" s="404"/>
      <c r="AO25" s="404"/>
      <c r="AP25" s="404"/>
      <c r="AQ25" s="78">
        <f t="shared" si="1"/>
        <v>0</v>
      </c>
      <c r="AR25" s="78">
        <f t="shared" si="2"/>
        <v>2635.8</v>
      </c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>
        <f>AC25-'2018dram'!V25-F25</f>
        <v>6.500000000000091</v>
      </c>
      <c r="BN25" s="78"/>
      <c r="BO25" s="78"/>
      <c r="BP25" s="78"/>
      <c r="BQ25" s="296"/>
      <c r="BR25" s="300">
        <f t="shared" si="7"/>
        <v>6.500000000000091</v>
      </c>
      <c r="BS25" s="335"/>
      <c r="BT25" s="482"/>
      <c r="BU25" s="482"/>
      <c r="BV25" s="482"/>
      <c r="BW25" s="482"/>
      <c r="BX25" s="482"/>
      <c r="BY25" s="483"/>
      <c r="BZ25" s="336"/>
      <c r="CA25" s="307">
        <f t="shared" si="4"/>
        <v>6.500000000000091</v>
      </c>
      <c r="CB25" s="461"/>
      <c r="CC25" s="462"/>
      <c r="CD25" s="416">
        <f t="shared" si="5"/>
        <v>0</v>
      </c>
      <c r="CE25" s="216">
        <f t="shared" si="6"/>
        <v>2635.8</v>
      </c>
      <c r="CF25" s="484"/>
    </row>
    <row r="26" spans="1:84" s="8" customFormat="1" ht="15.75" customHeight="1">
      <c r="A26" s="310" t="s">
        <v>146</v>
      </c>
      <c r="B26" s="487"/>
      <c r="C26" s="488"/>
      <c r="D26" s="488"/>
      <c r="E26" s="479"/>
      <c r="F26" s="478">
        <f>'hoaki past18'!F9</f>
        <v>0.4</v>
      </c>
      <c r="G26" s="479"/>
      <c r="H26" s="270">
        <f t="shared" si="11"/>
        <v>0.4</v>
      </c>
      <c r="I26" s="486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81">
        <f>'hoaki past18'!I9</f>
        <v>3686.8</v>
      </c>
      <c r="AD26" s="404"/>
      <c r="AE26" s="404"/>
      <c r="AF26" s="404"/>
      <c r="AG26" s="405"/>
      <c r="AH26" s="422"/>
      <c r="AI26" s="76">
        <f t="shared" si="12"/>
        <v>3686.8</v>
      </c>
      <c r="AJ26" s="76"/>
      <c r="AK26" s="404"/>
      <c r="AL26" s="404"/>
      <c r="AM26" s="404"/>
      <c r="AN26" s="404"/>
      <c r="AO26" s="404"/>
      <c r="AP26" s="404"/>
      <c r="AQ26" s="78">
        <f t="shared" si="1"/>
        <v>0</v>
      </c>
      <c r="AR26" s="78">
        <f t="shared" si="2"/>
        <v>3686.8</v>
      </c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>
        <f>AC26-'2018dram'!V26-F26</f>
        <v>13.00000000000009</v>
      </c>
      <c r="BN26" s="78"/>
      <c r="BO26" s="78"/>
      <c r="BP26" s="78"/>
      <c r="BQ26" s="296"/>
      <c r="BR26" s="300">
        <f t="shared" si="7"/>
        <v>13.00000000000009</v>
      </c>
      <c r="BS26" s="335"/>
      <c r="BT26" s="482"/>
      <c r="BU26" s="482"/>
      <c r="BV26" s="482"/>
      <c r="BW26" s="482"/>
      <c r="BX26" s="482"/>
      <c r="BY26" s="483"/>
      <c r="BZ26" s="336"/>
      <c r="CA26" s="307">
        <f t="shared" si="4"/>
        <v>13.00000000000009</v>
      </c>
      <c r="CB26" s="461"/>
      <c r="CC26" s="462"/>
      <c r="CD26" s="416">
        <f t="shared" si="5"/>
        <v>0</v>
      </c>
      <c r="CE26" s="216">
        <f t="shared" si="6"/>
        <v>3686.8</v>
      </c>
      <c r="CF26" s="484"/>
    </row>
    <row r="27" spans="1:84" s="8" customFormat="1" ht="15.75" customHeight="1">
      <c r="A27" s="310" t="s">
        <v>147</v>
      </c>
      <c r="B27" s="487"/>
      <c r="C27" s="488"/>
      <c r="D27" s="488"/>
      <c r="E27" s="479"/>
      <c r="F27" s="478">
        <f>'hoaki past18'!F10</f>
        <v>11.4</v>
      </c>
      <c r="G27" s="479"/>
      <c r="H27" s="270">
        <f t="shared" si="11"/>
        <v>11.4</v>
      </c>
      <c r="I27" s="486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81">
        <f>'hoaki past18'!I10</f>
        <v>3500.8</v>
      </c>
      <c r="AD27" s="404"/>
      <c r="AE27" s="404"/>
      <c r="AF27" s="404"/>
      <c r="AG27" s="405"/>
      <c r="AH27" s="422"/>
      <c r="AI27" s="76">
        <f t="shared" si="12"/>
        <v>3500.8</v>
      </c>
      <c r="AJ27" s="76"/>
      <c r="AK27" s="404"/>
      <c r="AL27" s="404"/>
      <c r="AM27" s="404"/>
      <c r="AN27" s="404"/>
      <c r="AO27" s="404"/>
      <c r="AP27" s="404"/>
      <c r="AQ27" s="78">
        <f t="shared" si="1"/>
        <v>0</v>
      </c>
      <c r="AR27" s="78">
        <f t="shared" si="2"/>
        <v>3500.8</v>
      </c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>
        <f>AC27-'2018dram'!V27-F27</f>
        <v>1.4000000000001815</v>
      </c>
      <c r="BN27" s="78"/>
      <c r="BO27" s="78"/>
      <c r="BP27" s="78"/>
      <c r="BQ27" s="296"/>
      <c r="BR27" s="300">
        <f t="shared" si="7"/>
        <v>1.4000000000001815</v>
      </c>
      <c r="BS27" s="335"/>
      <c r="BT27" s="482"/>
      <c r="BU27" s="482"/>
      <c r="BV27" s="482"/>
      <c r="BW27" s="482"/>
      <c r="BX27" s="482"/>
      <c r="BY27" s="483"/>
      <c r="BZ27" s="336"/>
      <c r="CA27" s="307">
        <f t="shared" si="4"/>
        <v>1.4000000000001815</v>
      </c>
      <c r="CB27" s="461"/>
      <c r="CC27" s="462"/>
      <c r="CD27" s="416">
        <f t="shared" si="5"/>
        <v>0</v>
      </c>
      <c r="CE27" s="216">
        <f t="shared" si="6"/>
        <v>3500.8</v>
      </c>
      <c r="CF27" s="484"/>
    </row>
    <row r="28" spans="1:84" s="8" customFormat="1" ht="15.75" customHeight="1">
      <c r="A28" s="310" t="s">
        <v>148</v>
      </c>
      <c r="B28" s="487"/>
      <c r="C28" s="488"/>
      <c r="D28" s="488"/>
      <c r="E28" s="479"/>
      <c r="F28" s="478">
        <f>'hoaki past18'!F11</f>
        <v>10.7</v>
      </c>
      <c r="G28" s="479"/>
      <c r="H28" s="270">
        <f t="shared" si="11"/>
        <v>10.7</v>
      </c>
      <c r="I28" s="486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81">
        <f>'hoaki past18'!I11</f>
        <v>3952.3</v>
      </c>
      <c r="AD28" s="404"/>
      <c r="AE28" s="404"/>
      <c r="AF28" s="404"/>
      <c r="AG28" s="405"/>
      <c r="AH28" s="422"/>
      <c r="AI28" s="76">
        <f t="shared" si="12"/>
        <v>3952.3</v>
      </c>
      <c r="AJ28" s="76"/>
      <c r="AK28" s="404"/>
      <c r="AL28" s="404"/>
      <c r="AM28" s="404"/>
      <c r="AN28" s="404"/>
      <c r="AO28" s="404"/>
      <c r="AP28" s="404"/>
      <c r="AQ28" s="78">
        <f t="shared" si="1"/>
        <v>0</v>
      </c>
      <c r="AR28" s="78">
        <f t="shared" si="2"/>
        <v>3952.3</v>
      </c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>
        <f>AC28-'2018dram'!V28-F28</f>
        <v>-2.2999999999999083</v>
      </c>
      <c r="BN28" s="78"/>
      <c r="BO28" s="78"/>
      <c r="BP28" s="78"/>
      <c r="BQ28" s="296"/>
      <c r="BR28" s="300">
        <f t="shared" si="7"/>
        <v>-2.2999999999999083</v>
      </c>
      <c r="BS28" s="335"/>
      <c r="BT28" s="482"/>
      <c r="BU28" s="482"/>
      <c r="BV28" s="482"/>
      <c r="BW28" s="482"/>
      <c r="BX28" s="482"/>
      <c r="BY28" s="483"/>
      <c r="BZ28" s="336"/>
      <c r="CA28" s="307">
        <f t="shared" si="4"/>
        <v>-2.2999999999999083</v>
      </c>
      <c r="CB28" s="461"/>
      <c r="CC28" s="462"/>
      <c r="CD28" s="416">
        <f t="shared" si="5"/>
        <v>0</v>
      </c>
      <c r="CE28" s="216">
        <f t="shared" si="6"/>
        <v>3952.3</v>
      </c>
      <c r="CF28" s="484"/>
    </row>
    <row r="29" spans="1:84" s="8" customFormat="1" ht="15.75" customHeight="1">
      <c r="A29" s="310" t="s">
        <v>149</v>
      </c>
      <c r="B29" s="487"/>
      <c r="C29" s="488"/>
      <c r="D29" s="488"/>
      <c r="E29" s="479"/>
      <c r="F29" s="478">
        <f>'hoaki past18'!F12</f>
        <v>0</v>
      </c>
      <c r="G29" s="479"/>
      <c r="H29" s="270">
        <f t="shared" si="11"/>
        <v>0</v>
      </c>
      <c r="I29" s="486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81">
        <f>'hoaki past18'!I12</f>
        <v>3487.6</v>
      </c>
      <c r="AD29" s="404"/>
      <c r="AE29" s="404"/>
      <c r="AF29" s="404"/>
      <c r="AG29" s="405"/>
      <c r="AH29" s="422"/>
      <c r="AI29" s="76">
        <f t="shared" si="12"/>
        <v>3487.6</v>
      </c>
      <c r="AJ29" s="76"/>
      <c r="AK29" s="404"/>
      <c r="AL29" s="404"/>
      <c r="AM29" s="404"/>
      <c r="AN29" s="404"/>
      <c r="AO29" s="404"/>
      <c r="AP29" s="404"/>
      <c r="AQ29" s="78">
        <f t="shared" si="1"/>
        <v>0</v>
      </c>
      <c r="AR29" s="78">
        <f t="shared" si="2"/>
        <v>3487.6</v>
      </c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>
        <f>AC29-'2018dram'!V29-F29</f>
        <v>14.5</v>
      </c>
      <c r="BN29" s="78"/>
      <c r="BO29" s="78"/>
      <c r="BP29" s="78"/>
      <c r="BQ29" s="296"/>
      <c r="BR29" s="300">
        <f t="shared" si="7"/>
        <v>14.5</v>
      </c>
      <c r="BS29" s="335"/>
      <c r="BT29" s="482"/>
      <c r="BU29" s="482"/>
      <c r="BV29" s="482"/>
      <c r="BW29" s="482"/>
      <c r="BX29" s="482"/>
      <c r="BY29" s="483"/>
      <c r="BZ29" s="336"/>
      <c r="CA29" s="307">
        <f t="shared" si="4"/>
        <v>14.5</v>
      </c>
      <c r="CB29" s="461"/>
      <c r="CC29" s="462"/>
      <c r="CD29" s="416">
        <f t="shared" si="5"/>
        <v>0</v>
      </c>
      <c r="CE29" s="216">
        <f t="shared" si="6"/>
        <v>3487.6</v>
      </c>
      <c r="CF29" s="484"/>
    </row>
    <row r="30" spans="1:84" s="8" customFormat="1" ht="15.75" customHeight="1">
      <c r="A30" s="310" t="s">
        <v>150</v>
      </c>
      <c r="B30" s="487"/>
      <c r="C30" s="488"/>
      <c r="D30" s="488"/>
      <c r="E30" s="479"/>
      <c r="F30" s="478">
        <f>'hoaki past18'!F13</f>
        <v>226.7</v>
      </c>
      <c r="G30" s="479"/>
      <c r="H30" s="270">
        <f t="shared" si="11"/>
        <v>226.7</v>
      </c>
      <c r="I30" s="486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81">
        <f>'hoaki past18'!I13</f>
        <v>4839.5</v>
      </c>
      <c r="AD30" s="404"/>
      <c r="AE30" s="404"/>
      <c r="AF30" s="404"/>
      <c r="AG30" s="405"/>
      <c r="AH30" s="422"/>
      <c r="AI30" s="76">
        <f t="shared" si="12"/>
        <v>4839.5</v>
      </c>
      <c r="AJ30" s="76"/>
      <c r="AK30" s="404"/>
      <c r="AL30" s="404"/>
      <c r="AM30" s="404"/>
      <c r="AN30" s="404"/>
      <c r="AO30" s="404"/>
      <c r="AP30" s="404"/>
      <c r="AQ30" s="78">
        <f t="shared" si="1"/>
        <v>0</v>
      </c>
      <c r="AR30" s="78">
        <f t="shared" si="2"/>
        <v>4839.5</v>
      </c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>
        <f>AC30-'2018dram'!V30-F30</f>
        <v>-33.89999999999981</v>
      </c>
      <c r="BN30" s="78"/>
      <c r="BO30" s="78"/>
      <c r="BP30" s="78"/>
      <c r="BQ30" s="296"/>
      <c r="BR30" s="300">
        <f t="shared" si="7"/>
        <v>-33.89999999999981</v>
      </c>
      <c r="BS30" s="335"/>
      <c r="BT30" s="482"/>
      <c r="BU30" s="482"/>
      <c r="BV30" s="482"/>
      <c r="BW30" s="482"/>
      <c r="BX30" s="482"/>
      <c r="BY30" s="483"/>
      <c r="BZ30" s="336"/>
      <c r="CA30" s="307">
        <f t="shared" si="4"/>
        <v>-33.89999999999981</v>
      </c>
      <c r="CB30" s="461"/>
      <c r="CC30" s="462"/>
      <c r="CD30" s="416">
        <f t="shared" si="5"/>
        <v>0</v>
      </c>
      <c r="CE30" s="216">
        <f t="shared" si="6"/>
        <v>4839.5</v>
      </c>
      <c r="CF30" s="484"/>
    </row>
    <row r="31" spans="1:84" s="8" customFormat="1" ht="15.75" customHeight="1">
      <c r="A31" s="310" t="s">
        <v>151</v>
      </c>
      <c r="B31" s="487"/>
      <c r="C31" s="488"/>
      <c r="D31" s="488"/>
      <c r="E31" s="479"/>
      <c r="F31" s="478">
        <f>'hoaki past18'!F14</f>
        <v>49.3</v>
      </c>
      <c r="G31" s="479"/>
      <c r="H31" s="270">
        <f t="shared" si="11"/>
        <v>49.3</v>
      </c>
      <c r="I31" s="486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81">
        <f>'hoaki past18'!I14</f>
        <v>3707.2999999999997</v>
      </c>
      <c r="AD31" s="404"/>
      <c r="AE31" s="404"/>
      <c r="AF31" s="404"/>
      <c r="AG31" s="405"/>
      <c r="AH31" s="422"/>
      <c r="AI31" s="76">
        <f t="shared" si="12"/>
        <v>3707.2999999999997</v>
      </c>
      <c r="AJ31" s="76"/>
      <c r="AK31" s="404"/>
      <c r="AL31" s="404"/>
      <c r="AM31" s="404"/>
      <c r="AN31" s="404"/>
      <c r="AO31" s="404"/>
      <c r="AP31" s="404"/>
      <c r="AQ31" s="78">
        <f t="shared" si="1"/>
        <v>0</v>
      </c>
      <c r="AR31" s="78">
        <f t="shared" si="2"/>
        <v>3707.2999999999997</v>
      </c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>
        <f>AC31-'2018dram'!V31-F31</f>
        <v>-7.300000000000452</v>
      </c>
      <c r="BN31" s="78"/>
      <c r="BO31" s="78"/>
      <c r="BP31" s="78"/>
      <c r="BQ31" s="296"/>
      <c r="BR31" s="300">
        <f t="shared" si="7"/>
        <v>-7.300000000000452</v>
      </c>
      <c r="BS31" s="335"/>
      <c r="BT31" s="482"/>
      <c r="BU31" s="482"/>
      <c r="BV31" s="482"/>
      <c r="BW31" s="482"/>
      <c r="BX31" s="482"/>
      <c r="BY31" s="483"/>
      <c r="BZ31" s="336"/>
      <c r="CA31" s="307">
        <f t="shared" si="4"/>
        <v>-7.300000000000452</v>
      </c>
      <c r="CB31" s="461"/>
      <c r="CC31" s="462"/>
      <c r="CD31" s="416">
        <f t="shared" si="5"/>
        <v>0</v>
      </c>
      <c r="CE31" s="216">
        <f t="shared" si="6"/>
        <v>3707.2999999999997</v>
      </c>
      <c r="CF31" s="484"/>
    </row>
    <row r="32" spans="1:84" s="8" customFormat="1" ht="15.75" customHeight="1" thickBot="1">
      <c r="A32" s="340" t="s">
        <v>152</v>
      </c>
      <c r="B32" s="489"/>
      <c r="C32" s="490"/>
      <c r="D32" s="490"/>
      <c r="E32" s="491"/>
      <c r="F32" s="492">
        <f>'hoaki past18'!F15</f>
        <v>39.5</v>
      </c>
      <c r="G32" s="491"/>
      <c r="H32" s="292">
        <f t="shared" si="11"/>
        <v>39.5</v>
      </c>
      <c r="I32" s="493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94">
        <f>'hoaki past18'!I15</f>
        <v>3865.0000000000005</v>
      </c>
      <c r="AD32" s="427"/>
      <c r="AE32" s="427"/>
      <c r="AF32" s="427"/>
      <c r="AG32" s="428"/>
      <c r="AH32" s="412"/>
      <c r="AI32" s="161">
        <f t="shared" si="12"/>
        <v>3865.0000000000005</v>
      </c>
      <c r="AJ32" s="161"/>
      <c r="AK32" s="427"/>
      <c r="AL32" s="427"/>
      <c r="AM32" s="427"/>
      <c r="AN32" s="427"/>
      <c r="AO32" s="427"/>
      <c r="AP32" s="427"/>
      <c r="AQ32" s="293">
        <f t="shared" si="1"/>
        <v>0</v>
      </c>
      <c r="AR32" s="293">
        <f t="shared" si="2"/>
        <v>3865.0000000000005</v>
      </c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>
        <f>AC32-'2018dram'!V32-F32</f>
        <v>-18.299999999999727</v>
      </c>
      <c r="BN32" s="293"/>
      <c r="BO32" s="293"/>
      <c r="BP32" s="293"/>
      <c r="BQ32" s="297"/>
      <c r="BR32" s="302">
        <f t="shared" si="7"/>
        <v>-18.299999999999727</v>
      </c>
      <c r="BS32" s="337"/>
      <c r="BT32" s="495"/>
      <c r="BU32" s="495"/>
      <c r="BV32" s="495"/>
      <c r="BW32" s="495"/>
      <c r="BX32" s="495"/>
      <c r="BY32" s="496"/>
      <c r="BZ32" s="338"/>
      <c r="CA32" s="309">
        <f t="shared" si="4"/>
        <v>-18.299999999999727</v>
      </c>
      <c r="CB32" s="497"/>
      <c r="CC32" s="498"/>
      <c r="CD32" s="499">
        <f t="shared" si="5"/>
        <v>0</v>
      </c>
      <c r="CE32" s="294">
        <f t="shared" si="6"/>
        <v>3865.0000000000005</v>
      </c>
      <c r="CF32" s="484"/>
    </row>
    <row r="33" spans="1:84" s="23" customFormat="1" ht="18.75" customHeight="1" thickBot="1">
      <c r="A33" s="311" t="s">
        <v>120</v>
      </c>
      <c r="B33" s="500">
        <f aca="true" t="shared" si="13" ref="B33:AJ33">SUM(B21:B32)</f>
        <v>0</v>
      </c>
      <c r="C33" s="500">
        <f t="shared" si="13"/>
        <v>0</v>
      </c>
      <c r="D33" s="500">
        <f t="shared" si="13"/>
        <v>0</v>
      </c>
      <c r="E33" s="500">
        <f t="shared" si="13"/>
        <v>0</v>
      </c>
      <c r="F33" s="500">
        <f t="shared" si="13"/>
        <v>679.6999999999998</v>
      </c>
      <c r="G33" s="500">
        <f t="shared" si="13"/>
        <v>0</v>
      </c>
      <c r="H33" s="501">
        <f t="shared" si="13"/>
        <v>679.6999999999998</v>
      </c>
      <c r="I33" s="502">
        <f t="shared" si="13"/>
        <v>0</v>
      </c>
      <c r="J33" s="500">
        <f t="shared" si="13"/>
        <v>0</v>
      </c>
      <c r="K33" s="500">
        <f t="shared" si="13"/>
        <v>0</v>
      </c>
      <c r="L33" s="500">
        <f t="shared" si="13"/>
        <v>0</v>
      </c>
      <c r="M33" s="500">
        <f t="shared" si="13"/>
        <v>0</v>
      </c>
      <c r="N33" s="500">
        <f t="shared" si="13"/>
        <v>0</v>
      </c>
      <c r="O33" s="500">
        <f t="shared" si="13"/>
        <v>0</v>
      </c>
      <c r="P33" s="500">
        <f t="shared" si="13"/>
        <v>0</v>
      </c>
      <c r="Q33" s="500">
        <f t="shared" si="13"/>
        <v>0</v>
      </c>
      <c r="R33" s="500">
        <f t="shared" si="13"/>
        <v>0</v>
      </c>
      <c r="S33" s="500">
        <f t="shared" si="13"/>
        <v>0</v>
      </c>
      <c r="T33" s="500">
        <f t="shared" si="13"/>
        <v>0</v>
      </c>
      <c r="U33" s="500">
        <f t="shared" si="13"/>
        <v>0</v>
      </c>
      <c r="V33" s="500">
        <f t="shared" si="13"/>
        <v>0</v>
      </c>
      <c r="W33" s="500">
        <f t="shared" si="13"/>
        <v>0</v>
      </c>
      <c r="X33" s="500">
        <f t="shared" si="13"/>
        <v>0</v>
      </c>
      <c r="Y33" s="500">
        <f t="shared" si="13"/>
        <v>0</v>
      </c>
      <c r="Z33" s="500">
        <f t="shared" si="13"/>
        <v>0</v>
      </c>
      <c r="AA33" s="500">
        <f t="shared" si="13"/>
        <v>0</v>
      </c>
      <c r="AB33" s="500">
        <f t="shared" si="13"/>
        <v>0</v>
      </c>
      <c r="AC33" s="500">
        <f t="shared" si="13"/>
        <v>42890.1</v>
      </c>
      <c r="AD33" s="500">
        <f t="shared" si="13"/>
        <v>0</v>
      </c>
      <c r="AE33" s="500">
        <f t="shared" si="13"/>
        <v>0</v>
      </c>
      <c r="AF33" s="500">
        <f t="shared" si="13"/>
        <v>0</v>
      </c>
      <c r="AG33" s="503">
        <f t="shared" si="13"/>
        <v>0</v>
      </c>
      <c r="AH33" s="500">
        <f t="shared" si="13"/>
        <v>0</v>
      </c>
      <c r="AI33" s="503">
        <f t="shared" si="13"/>
        <v>42890.1</v>
      </c>
      <c r="AJ33" s="500">
        <f t="shared" si="13"/>
        <v>0</v>
      </c>
      <c r="AK33" s="500">
        <f aca="true" t="shared" si="14" ref="AK33:BV33">SUM(AK21:AK32)</f>
        <v>0</v>
      </c>
      <c r="AL33" s="500">
        <f t="shared" si="14"/>
        <v>0</v>
      </c>
      <c r="AM33" s="500">
        <f t="shared" si="14"/>
        <v>0</v>
      </c>
      <c r="AN33" s="500">
        <f t="shared" si="14"/>
        <v>0</v>
      </c>
      <c r="AO33" s="500">
        <f t="shared" si="14"/>
        <v>0</v>
      </c>
      <c r="AP33" s="500">
        <f t="shared" si="14"/>
        <v>0</v>
      </c>
      <c r="AQ33" s="500">
        <f t="shared" si="14"/>
        <v>0</v>
      </c>
      <c r="AR33" s="500">
        <f t="shared" si="14"/>
        <v>42890.1</v>
      </c>
      <c r="AS33" s="500">
        <f t="shared" si="14"/>
        <v>0</v>
      </c>
      <c r="AT33" s="500">
        <f t="shared" si="14"/>
        <v>0</v>
      </c>
      <c r="AU33" s="500">
        <f t="shared" si="14"/>
        <v>0</v>
      </c>
      <c r="AV33" s="500">
        <f t="shared" si="14"/>
        <v>0</v>
      </c>
      <c r="AW33" s="500">
        <f t="shared" si="14"/>
        <v>0</v>
      </c>
      <c r="AX33" s="500">
        <f t="shared" si="14"/>
        <v>0</v>
      </c>
      <c r="AY33" s="500">
        <f t="shared" si="14"/>
        <v>0</v>
      </c>
      <c r="AZ33" s="500">
        <f t="shared" si="14"/>
        <v>0</v>
      </c>
      <c r="BA33" s="500">
        <f t="shared" si="14"/>
        <v>0</v>
      </c>
      <c r="BB33" s="500">
        <f t="shared" si="14"/>
        <v>0</v>
      </c>
      <c r="BC33" s="500">
        <f t="shared" si="14"/>
        <v>0</v>
      </c>
      <c r="BD33" s="500">
        <f t="shared" si="14"/>
        <v>0</v>
      </c>
      <c r="BE33" s="500">
        <f t="shared" si="14"/>
        <v>0</v>
      </c>
      <c r="BF33" s="500">
        <f t="shared" si="14"/>
        <v>0</v>
      </c>
      <c r="BG33" s="500">
        <f t="shared" si="14"/>
        <v>0</v>
      </c>
      <c r="BH33" s="500">
        <f t="shared" si="14"/>
        <v>0</v>
      </c>
      <c r="BI33" s="500">
        <f t="shared" si="14"/>
        <v>0</v>
      </c>
      <c r="BJ33" s="500">
        <f t="shared" si="14"/>
        <v>0</v>
      </c>
      <c r="BK33" s="500">
        <f t="shared" si="14"/>
        <v>0</v>
      </c>
      <c r="BL33" s="500">
        <f t="shared" si="14"/>
        <v>0</v>
      </c>
      <c r="BM33" s="500">
        <f t="shared" si="14"/>
        <v>-26.199999999999534</v>
      </c>
      <c r="BN33" s="500">
        <f t="shared" si="14"/>
        <v>0</v>
      </c>
      <c r="BO33" s="500">
        <f t="shared" si="14"/>
        <v>0</v>
      </c>
      <c r="BP33" s="500">
        <f t="shared" si="14"/>
        <v>0</v>
      </c>
      <c r="BQ33" s="503">
        <f>SUM(BQ21:BQ32)</f>
        <v>0</v>
      </c>
      <c r="BR33" s="501">
        <f t="shared" si="14"/>
        <v>-26.199999999999534</v>
      </c>
      <c r="BS33" s="504">
        <f t="shared" si="14"/>
        <v>0</v>
      </c>
      <c r="BT33" s="505">
        <f t="shared" si="14"/>
        <v>0</v>
      </c>
      <c r="BU33" s="505">
        <f t="shared" si="14"/>
        <v>0</v>
      </c>
      <c r="BV33" s="505">
        <f t="shared" si="14"/>
        <v>0</v>
      </c>
      <c r="BW33" s="505">
        <f aca="true" t="shared" si="15" ref="BW33:CE33">SUM(BW21:BW32)</f>
        <v>0</v>
      </c>
      <c r="BX33" s="505">
        <f t="shared" si="15"/>
        <v>0</v>
      </c>
      <c r="BY33" s="506">
        <f t="shared" si="15"/>
        <v>0</v>
      </c>
      <c r="BZ33" s="507">
        <f t="shared" si="15"/>
        <v>0</v>
      </c>
      <c r="CA33" s="349">
        <f t="shared" si="15"/>
        <v>-26.199999999999534</v>
      </c>
      <c r="CB33" s="508">
        <f t="shared" si="15"/>
        <v>0</v>
      </c>
      <c r="CC33" s="509">
        <f t="shared" si="15"/>
        <v>0</v>
      </c>
      <c r="CD33" s="509">
        <f t="shared" si="15"/>
        <v>0</v>
      </c>
      <c r="CE33" s="510">
        <f t="shared" si="15"/>
        <v>42890.1</v>
      </c>
      <c r="CF33" s="511"/>
    </row>
    <row r="34" spans="1:84" s="8" customFormat="1" ht="15" customHeight="1">
      <c r="A34" s="310" t="s">
        <v>23</v>
      </c>
      <c r="B34" s="485"/>
      <c r="C34" s="479"/>
      <c r="D34" s="479"/>
      <c r="E34" s="479"/>
      <c r="F34" s="478">
        <f>'hoaki past18'!F17</f>
        <v>214.4</v>
      </c>
      <c r="G34" s="479"/>
      <c r="H34" s="270">
        <f t="shared" si="11"/>
        <v>214.4</v>
      </c>
      <c r="I34" s="480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81">
        <f>'hoaki past18'!I17</f>
        <v>10817.699999999999</v>
      </c>
      <c r="AD34" s="422">
        <f>'hoaki past18'!H17</f>
        <v>467.7</v>
      </c>
      <c r="AE34" s="422"/>
      <c r="AF34" s="422"/>
      <c r="AG34" s="423"/>
      <c r="AH34" s="422"/>
      <c r="AI34" s="76">
        <f>I34+J34+K34+L34+M34+N34+O34+P34+Q34+R34+S34+T34+U34+V34+W34+X34+Y34+Z34+AA34+AB34+AC34+AD34+AE34+AF34+AG34</f>
        <v>11285.4</v>
      </c>
      <c r="AJ34" s="76"/>
      <c r="AK34" s="422"/>
      <c r="AL34" s="422"/>
      <c r="AM34" s="422"/>
      <c r="AN34" s="422"/>
      <c r="AO34" s="422"/>
      <c r="AP34" s="422"/>
      <c r="AQ34" s="78">
        <f>AK34+AL34+AM34+AN34+AO34+AP34+AJ34</f>
        <v>0</v>
      </c>
      <c r="AR34" s="78">
        <f>AI34+AQ34</f>
        <v>11285.4</v>
      </c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>
        <f>AC34-'2018dram'!V34-F34</f>
        <v>128.89999999999927</v>
      </c>
      <c r="BN34" s="78">
        <f>AD34-'2018dram'!W34</f>
        <v>0</v>
      </c>
      <c r="BO34" s="78"/>
      <c r="BP34" s="78"/>
      <c r="BQ34" s="296"/>
      <c r="BR34" s="300">
        <f t="shared" si="7"/>
        <v>128.89999999999927</v>
      </c>
      <c r="BS34" s="335"/>
      <c r="BT34" s="482"/>
      <c r="BU34" s="482"/>
      <c r="BV34" s="482"/>
      <c r="BW34" s="482"/>
      <c r="BX34" s="482"/>
      <c r="BY34" s="483"/>
      <c r="BZ34" s="336"/>
      <c r="CA34" s="307">
        <f t="shared" si="4"/>
        <v>128.89999999999927</v>
      </c>
      <c r="CB34" s="456"/>
      <c r="CC34" s="457"/>
      <c r="CD34" s="458">
        <f t="shared" si="5"/>
        <v>0</v>
      </c>
      <c r="CE34" s="216">
        <f t="shared" si="6"/>
        <v>11285.4</v>
      </c>
      <c r="CF34" s="484"/>
    </row>
    <row r="35" spans="1:84" s="8" customFormat="1" ht="15" customHeight="1">
      <c r="A35" s="312" t="s">
        <v>138</v>
      </c>
      <c r="B35" s="487"/>
      <c r="C35" s="488"/>
      <c r="D35" s="488"/>
      <c r="E35" s="479"/>
      <c r="F35" s="478">
        <f>'hoaki past18'!F18</f>
        <v>1</v>
      </c>
      <c r="G35" s="479"/>
      <c r="H35" s="270">
        <f t="shared" si="11"/>
        <v>1</v>
      </c>
      <c r="I35" s="486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81">
        <f>'hoaki past18'!I18</f>
        <v>5094.6</v>
      </c>
      <c r="AD35" s="404">
        <f>'hoaki past18'!H18</f>
        <v>194.9</v>
      </c>
      <c r="AE35" s="404"/>
      <c r="AF35" s="404"/>
      <c r="AG35" s="405"/>
      <c r="AH35" s="422"/>
      <c r="AI35" s="76">
        <f>I35+J35+K35+L35+M35+N35+O35+P35+Q35+R35+S35+T35+U35+V35+W35+X35+Y35+Z35+AA35+AB35+AC35+AD35+AE35+AF35+AG35</f>
        <v>5289.5</v>
      </c>
      <c r="AJ35" s="76"/>
      <c r="AK35" s="404"/>
      <c r="AL35" s="404"/>
      <c r="AM35" s="404"/>
      <c r="AN35" s="404"/>
      <c r="AO35" s="404"/>
      <c r="AP35" s="404"/>
      <c r="AQ35" s="78">
        <f>AK35+AL35+AM35+AN35+AO35+AP35+AJ35</f>
        <v>0</v>
      </c>
      <c r="AR35" s="78">
        <f t="shared" si="2"/>
        <v>5289.5</v>
      </c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>
        <f>AC35-'2018dram'!V35-F35</f>
        <v>15.200000000000728</v>
      </c>
      <c r="BN35" s="78">
        <f>AD35-'2018dram'!W35</f>
        <v>0</v>
      </c>
      <c r="BO35" s="78"/>
      <c r="BP35" s="78"/>
      <c r="BQ35" s="296"/>
      <c r="BR35" s="300">
        <f t="shared" si="7"/>
        <v>15.200000000000728</v>
      </c>
      <c r="BS35" s="335"/>
      <c r="BT35" s="482"/>
      <c r="BU35" s="482"/>
      <c r="BV35" s="482"/>
      <c r="BW35" s="482"/>
      <c r="BX35" s="482"/>
      <c r="BY35" s="483"/>
      <c r="BZ35" s="336"/>
      <c r="CA35" s="307">
        <f t="shared" si="4"/>
        <v>15.200000000000728</v>
      </c>
      <c r="CB35" s="461"/>
      <c r="CC35" s="462"/>
      <c r="CD35" s="416">
        <f t="shared" si="5"/>
        <v>0</v>
      </c>
      <c r="CE35" s="216">
        <f t="shared" si="6"/>
        <v>5289.5</v>
      </c>
      <c r="CF35" s="484" t="s">
        <v>91</v>
      </c>
    </row>
    <row r="36" spans="1:84" s="8" customFormat="1" ht="15" customHeight="1">
      <c r="A36" s="277" t="s">
        <v>191</v>
      </c>
      <c r="B36" s="487"/>
      <c r="C36" s="488"/>
      <c r="D36" s="488"/>
      <c r="E36" s="479"/>
      <c r="F36" s="478">
        <f>'hoaki past18'!F19</f>
        <v>178.49999999999997</v>
      </c>
      <c r="G36" s="479"/>
      <c r="H36" s="270">
        <f t="shared" si="11"/>
        <v>178.49999999999997</v>
      </c>
      <c r="I36" s="486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81">
        <f>'hoaki past18'!I19</f>
        <v>7331.699999999999</v>
      </c>
      <c r="AD36" s="404">
        <f>'hoaki past18'!H19</f>
        <v>0</v>
      </c>
      <c r="AE36" s="404"/>
      <c r="AF36" s="404"/>
      <c r="AG36" s="405"/>
      <c r="AH36" s="422"/>
      <c r="AI36" s="76">
        <f>I36+J36+K36+L36+M36+N36+O36+P36+Q36+R36+S36+T36+U36+V36+W36+X36+Y36+Z36+AA36+AB36+AC36+AD36+AE36+AF36+AG36</f>
        <v>7331.699999999999</v>
      </c>
      <c r="AJ36" s="76"/>
      <c r="AK36" s="404"/>
      <c r="AL36" s="404"/>
      <c r="AM36" s="404"/>
      <c r="AN36" s="404"/>
      <c r="AO36" s="404"/>
      <c r="AP36" s="404"/>
      <c r="AQ36" s="78">
        <f t="shared" si="1"/>
        <v>0</v>
      </c>
      <c r="AR36" s="78">
        <f t="shared" si="2"/>
        <v>7331.699999999999</v>
      </c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>
        <f>AC36-'2018dram'!V36-F36</f>
        <v>215.59999999999857</v>
      </c>
      <c r="BN36" s="78"/>
      <c r="BO36" s="78"/>
      <c r="BP36" s="78"/>
      <c r="BQ36" s="296"/>
      <c r="BR36" s="300">
        <f t="shared" si="7"/>
        <v>215.59999999999857</v>
      </c>
      <c r="BS36" s="335"/>
      <c r="BT36" s="482"/>
      <c r="BU36" s="482"/>
      <c r="BV36" s="482"/>
      <c r="BW36" s="482"/>
      <c r="BX36" s="482"/>
      <c r="BY36" s="483"/>
      <c r="BZ36" s="336"/>
      <c r="CA36" s="307">
        <f t="shared" si="4"/>
        <v>215.59999999999857</v>
      </c>
      <c r="CB36" s="461"/>
      <c r="CC36" s="462"/>
      <c r="CD36" s="416">
        <f t="shared" si="5"/>
        <v>0</v>
      </c>
      <c r="CE36" s="216">
        <f t="shared" si="6"/>
        <v>7331.699999999999</v>
      </c>
      <c r="CF36" s="484"/>
    </row>
    <row r="37" spans="1:84" s="8" customFormat="1" ht="15" customHeight="1">
      <c r="A37" s="277" t="s">
        <v>102</v>
      </c>
      <c r="B37" s="487"/>
      <c r="C37" s="488"/>
      <c r="D37" s="488"/>
      <c r="E37" s="479"/>
      <c r="F37" s="478">
        <f>'hoaki past18'!F20</f>
        <v>146.6</v>
      </c>
      <c r="G37" s="479"/>
      <c r="H37" s="270">
        <f t="shared" si="11"/>
        <v>146.6</v>
      </c>
      <c r="I37" s="486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81">
        <f>'hoaki past18'!I20</f>
        <v>3953.7</v>
      </c>
      <c r="AD37" s="404">
        <f>'hoaki past18'!H20</f>
        <v>0</v>
      </c>
      <c r="AE37" s="404"/>
      <c r="AF37" s="404"/>
      <c r="AG37" s="405"/>
      <c r="AH37" s="422"/>
      <c r="AI37" s="76">
        <f>I37+J37+K37+L37+M37+N37+O37+P37+Q37+R37+S37+T37+U37+V37+W37+X37+Y37+Z37+AA37+AB37+AC37+AD37+AE37+AF37+AG37</f>
        <v>3953.7</v>
      </c>
      <c r="AJ37" s="76"/>
      <c r="AK37" s="404"/>
      <c r="AL37" s="404"/>
      <c r="AM37" s="404"/>
      <c r="AN37" s="404"/>
      <c r="AO37" s="404"/>
      <c r="AP37" s="404"/>
      <c r="AQ37" s="78">
        <f t="shared" si="1"/>
        <v>0</v>
      </c>
      <c r="AR37" s="78">
        <f t="shared" si="2"/>
        <v>3953.7</v>
      </c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>
        <f>AC37-'2018dram'!V37-F37</f>
        <v>52.19999999999973</v>
      </c>
      <c r="BN37" s="78"/>
      <c r="BO37" s="78"/>
      <c r="BP37" s="78"/>
      <c r="BQ37" s="296"/>
      <c r="BR37" s="300">
        <f t="shared" si="7"/>
        <v>52.19999999999973</v>
      </c>
      <c r="BS37" s="335"/>
      <c r="BT37" s="482"/>
      <c r="BU37" s="482"/>
      <c r="BV37" s="482"/>
      <c r="BW37" s="482"/>
      <c r="BX37" s="482"/>
      <c r="BY37" s="483"/>
      <c r="BZ37" s="336"/>
      <c r="CA37" s="307">
        <f t="shared" si="4"/>
        <v>52.19999999999973</v>
      </c>
      <c r="CB37" s="461"/>
      <c r="CC37" s="462"/>
      <c r="CD37" s="416">
        <f t="shared" si="5"/>
        <v>0</v>
      </c>
      <c r="CE37" s="216">
        <f t="shared" si="6"/>
        <v>3953.7</v>
      </c>
      <c r="CF37" s="484"/>
    </row>
    <row r="38" spans="1:84" s="8" customFormat="1" ht="15" customHeight="1" thickBot="1">
      <c r="A38" s="313" t="s">
        <v>51</v>
      </c>
      <c r="B38" s="489"/>
      <c r="C38" s="490"/>
      <c r="D38" s="490"/>
      <c r="E38" s="491"/>
      <c r="F38" s="492">
        <f>'hoaki past18'!F21</f>
        <v>82.6</v>
      </c>
      <c r="G38" s="491"/>
      <c r="H38" s="292">
        <f t="shared" si="11"/>
        <v>82.6</v>
      </c>
      <c r="I38" s="493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94">
        <f>'hoaki past18'!I21</f>
        <v>2563.8</v>
      </c>
      <c r="AD38" s="427"/>
      <c r="AE38" s="427"/>
      <c r="AF38" s="427"/>
      <c r="AG38" s="428"/>
      <c r="AH38" s="412"/>
      <c r="AI38" s="161">
        <f>I38+J38+K38+L38+M38+N38+O38+P38+Q38+R38+S38+T38+U38+V38+W38+X38+Y38+Z38+AA38+AB38+AC38+AD38+AE38+AF38+AG38</f>
        <v>2563.8</v>
      </c>
      <c r="AJ38" s="161"/>
      <c r="AK38" s="427"/>
      <c r="AL38" s="427"/>
      <c r="AM38" s="427"/>
      <c r="AN38" s="427"/>
      <c r="AO38" s="427"/>
      <c r="AP38" s="427"/>
      <c r="AQ38" s="293">
        <f t="shared" si="1"/>
        <v>0</v>
      </c>
      <c r="AR38" s="293">
        <f t="shared" si="2"/>
        <v>2563.8</v>
      </c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>
        <f>AC38-'2018dram'!V38-F38</f>
        <v>68.3000000000001</v>
      </c>
      <c r="BN38" s="293"/>
      <c r="BO38" s="293"/>
      <c r="BP38" s="293"/>
      <c r="BQ38" s="297"/>
      <c r="BR38" s="302">
        <f t="shared" si="7"/>
        <v>68.3000000000001</v>
      </c>
      <c r="BS38" s="337"/>
      <c r="BT38" s="495"/>
      <c r="BU38" s="495"/>
      <c r="BV38" s="495"/>
      <c r="BW38" s="495"/>
      <c r="BX38" s="495"/>
      <c r="BY38" s="496"/>
      <c r="BZ38" s="338"/>
      <c r="CA38" s="309">
        <f t="shared" si="4"/>
        <v>68.3000000000001</v>
      </c>
      <c r="CB38" s="497"/>
      <c r="CC38" s="498"/>
      <c r="CD38" s="499">
        <f t="shared" si="5"/>
        <v>0</v>
      </c>
      <c r="CE38" s="294">
        <f t="shared" si="6"/>
        <v>2563.8</v>
      </c>
      <c r="CF38" s="484"/>
    </row>
    <row r="39" spans="1:84" s="23" customFormat="1" ht="17.25" customHeight="1" thickBot="1">
      <c r="A39" s="155" t="s">
        <v>119</v>
      </c>
      <c r="B39" s="500">
        <f>B34+B35+B36+B37+B38</f>
        <v>0</v>
      </c>
      <c r="C39" s="500">
        <f aca="true" t="shared" si="16" ref="C39:AR39">C34+C35+C36+C37+C38</f>
        <v>0</v>
      </c>
      <c r="D39" s="500">
        <f t="shared" si="16"/>
        <v>0</v>
      </c>
      <c r="E39" s="500">
        <f t="shared" si="16"/>
        <v>0</v>
      </c>
      <c r="F39" s="500">
        <f t="shared" si="16"/>
        <v>623.1</v>
      </c>
      <c r="G39" s="500">
        <f t="shared" si="16"/>
        <v>0</v>
      </c>
      <c r="H39" s="295">
        <f t="shared" si="11"/>
        <v>623.1</v>
      </c>
      <c r="I39" s="502">
        <f>I34+I35+I36+I37+I38</f>
        <v>0</v>
      </c>
      <c r="J39" s="500">
        <f>J34+J35+J36+J37+J38</f>
        <v>0</v>
      </c>
      <c r="K39" s="500">
        <f t="shared" si="16"/>
        <v>0</v>
      </c>
      <c r="L39" s="500">
        <f t="shared" si="16"/>
        <v>0</v>
      </c>
      <c r="M39" s="500">
        <f t="shared" si="16"/>
        <v>0</v>
      </c>
      <c r="N39" s="500">
        <f t="shared" si="16"/>
        <v>0</v>
      </c>
      <c r="O39" s="500">
        <f t="shared" si="16"/>
        <v>0</v>
      </c>
      <c r="P39" s="500">
        <f t="shared" si="16"/>
        <v>0</v>
      </c>
      <c r="Q39" s="500">
        <f t="shared" si="16"/>
        <v>0</v>
      </c>
      <c r="R39" s="500">
        <f t="shared" si="16"/>
        <v>0</v>
      </c>
      <c r="S39" s="500">
        <f t="shared" si="16"/>
        <v>0</v>
      </c>
      <c r="T39" s="500">
        <f t="shared" si="16"/>
        <v>0</v>
      </c>
      <c r="U39" s="500">
        <f t="shared" si="16"/>
        <v>0</v>
      </c>
      <c r="V39" s="500">
        <f t="shared" si="16"/>
        <v>0</v>
      </c>
      <c r="W39" s="500">
        <f t="shared" si="16"/>
        <v>0</v>
      </c>
      <c r="X39" s="500">
        <f t="shared" si="16"/>
        <v>0</v>
      </c>
      <c r="Y39" s="500">
        <f t="shared" si="16"/>
        <v>0</v>
      </c>
      <c r="Z39" s="500">
        <f t="shared" si="16"/>
        <v>0</v>
      </c>
      <c r="AA39" s="500">
        <f t="shared" si="16"/>
        <v>0</v>
      </c>
      <c r="AB39" s="500">
        <f t="shared" si="16"/>
        <v>0</v>
      </c>
      <c r="AC39" s="500">
        <f t="shared" si="16"/>
        <v>29761.5</v>
      </c>
      <c r="AD39" s="500">
        <f t="shared" si="16"/>
        <v>662.6</v>
      </c>
      <c r="AE39" s="500">
        <f t="shared" si="16"/>
        <v>0</v>
      </c>
      <c r="AF39" s="500">
        <f t="shared" si="16"/>
        <v>0</v>
      </c>
      <c r="AG39" s="500">
        <f t="shared" si="16"/>
        <v>0</v>
      </c>
      <c r="AH39" s="500">
        <f t="shared" si="16"/>
        <v>0</v>
      </c>
      <c r="AI39" s="500">
        <f t="shared" si="16"/>
        <v>30424.1</v>
      </c>
      <c r="AJ39" s="500">
        <f t="shared" si="16"/>
        <v>0</v>
      </c>
      <c r="AK39" s="500">
        <f t="shared" si="16"/>
        <v>0</v>
      </c>
      <c r="AL39" s="500">
        <f t="shared" si="16"/>
        <v>0</v>
      </c>
      <c r="AM39" s="500">
        <f t="shared" si="16"/>
        <v>0</v>
      </c>
      <c r="AN39" s="500">
        <f>SUM(AN33:AN38)</f>
        <v>0</v>
      </c>
      <c r="AO39" s="500">
        <f t="shared" si="16"/>
        <v>0</v>
      </c>
      <c r="AP39" s="500">
        <f t="shared" si="16"/>
        <v>0</v>
      </c>
      <c r="AQ39" s="500">
        <f t="shared" si="16"/>
        <v>0</v>
      </c>
      <c r="AR39" s="500">
        <f t="shared" si="16"/>
        <v>30424.1</v>
      </c>
      <c r="AS39" s="500">
        <f aca="true" t="shared" si="17" ref="AS39:BV39">AS34+AS35+AS36+AS37+AS38</f>
        <v>0</v>
      </c>
      <c r="AT39" s="500">
        <f t="shared" si="17"/>
        <v>0</v>
      </c>
      <c r="AU39" s="500">
        <f t="shared" si="17"/>
        <v>0</v>
      </c>
      <c r="AV39" s="500">
        <f t="shared" si="17"/>
        <v>0</v>
      </c>
      <c r="AW39" s="500">
        <f t="shared" si="17"/>
        <v>0</v>
      </c>
      <c r="AX39" s="500">
        <f t="shared" si="17"/>
        <v>0</v>
      </c>
      <c r="AY39" s="500">
        <f t="shared" si="17"/>
        <v>0</v>
      </c>
      <c r="AZ39" s="500">
        <f t="shared" si="17"/>
        <v>0</v>
      </c>
      <c r="BA39" s="500">
        <f t="shared" si="17"/>
        <v>0</v>
      </c>
      <c r="BB39" s="500">
        <f t="shared" si="17"/>
        <v>0</v>
      </c>
      <c r="BC39" s="500">
        <f t="shared" si="17"/>
        <v>0</v>
      </c>
      <c r="BD39" s="500">
        <f t="shared" si="17"/>
        <v>0</v>
      </c>
      <c r="BE39" s="500">
        <f t="shared" si="17"/>
        <v>0</v>
      </c>
      <c r="BF39" s="500">
        <f t="shared" si="17"/>
        <v>0</v>
      </c>
      <c r="BG39" s="500">
        <f t="shared" si="17"/>
        <v>0</v>
      </c>
      <c r="BH39" s="500">
        <f t="shared" si="17"/>
        <v>0</v>
      </c>
      <c r="BI39" s="500">
        <f t="shared" si="17"/>
        <v>0</v>
      </c>
      <c r="BJ39" s="500">
        <f t="shared" si="17"/>
        <v>0</v>
      </c>
      <c r="BK39" s="500">
        <f t="shared" si="17"/>
        <v>0</v>
      </c>
      <c r="BL39" s="500">
        <f t="shared" si="17"/>
        <v>0</v>
      </c>
      <c r="BM39" s="500">
        <f t="shared" si="17"/>
        <v>480.19999999999834</v>
      </c>
      <c r="BN39" s="500">
        <f t="shared" si="17"/>
        <v>0</v>
      </c>
      <c r="BO39" s="500">
        <f t="shared" si="17"/>
        <v>0</v>
      </c>
      <c r="BP39" s="500">
        <f t="shared" si="17"/>
        <v>0</v>
      </c>
      <c r="BQ39" s="503">
        <f t="shared" si="17"/>
        <v>0</v>
      </c>
      <c r="BR39" s="501">
        <f t="shared" si="17"/>
        <v>480.19999999999834</v>
      </c>
      <c r="BS39" s="504">
        <f t="shared" si="17"/>
        <v>0</v>
      </c>
      <c r="BT39" s="505">
        <f t="shared" si="17"/>
        <v>0</v>
      </c>
      <c r="BU39" s="505">
        <f t="shared" si="17"/>
        <v>0</v>
      </c>
      <c r="BV39" s="505">
        <f t="shared" si="17"/>
        <v>0</v>
      </c>
      <c r="BW39" s="505">
        <f>BW34+BW35+BW36+BW37+BW38</f>
        <v>0</v>
      </c>
      <c r="BX39" s="512">
        <f>BX34+BX35+BX36+BX37+BX38</f>
        <v>0</v>
      </c>
      <c r="BY39" s="513">
        <f>BY34+BY35+BY36+BY37+BY38</f>
        <v>0</v>
      </c>
      <c r="BZ39" s="514">
        <f>BZ34+BZ35+BZ36+BZ37+BZ38</f>
        <v>0</v>
      </c>
      <c r="CA39" s="349">
        <f>CA34+CA35+CA36+CA37+CA38</f>
        <v>480.19999999999834</v>
      </c>
      <c r="CB39" s="508">
        <f>SUM(CB34:CB38)</f>
        <v>0</v>
      </c>
      <c r="CC39" s="509">
        <f>SUM(CC34:CC38)</f>
        <v>0</v>
      </c>
      <c r="CD39" s="509">
        <f>SUM(CD34:CD38)</f>
        <v>0</v>
      </c>
      <c r="CE39" s="510">
        <f>SUM(CE34:CE38)</f>
        <v>30424.1</v>
      </c>
      <c r="CF39" s="511"/>
    </row>
    <row r="40" spans="1:84" s="8" customFormat="1" ht="15" customHeight="1">
      <c r="A40" s="310" t="s">
        <v>140</v>
      </c>
      <c r="B40" s="485"/>
      <c r="C40" s="479"/>
      <c r="D40" s="479"/>
      <c r="E40" s="479"/>
      <c r="F40" s="478">
        <f>'hoaki past18'!F23</f>
        <v>18.7</v>
      </c>
      <c r="G40" s="479"/>
      <c r="H40" s="270">
        <f t="shared" si="11"/>
        <v>18.7</v>
      </c>
      <c r="I40" s="480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81">
        <f>'hoaki past18'!I23</f>
        <v>4695.7</v>
      </c>
      <c r="AD40" s="422"/>
      <c r="AE40" s="422"/>
      <c r="AF40" s="422"/>
      <c r="AG40" s="423"/>
      <c r="AH40" s="422"/>
      <c r="AI40" s="76">
        <f>I40+J40+K40+L40+M40+N40+O40+P40+Q40+R40+S40+T40+U40+V40+W40+X40+Y40+Z40+AA40+AB40+AC40+AD40+AE40+AF40+AG40</f>
        <v>4695.7</v>
      </c>
      <c r="AJ40" s="76"/>
      <c r="AK40" s="422"/>
      <c r="AL40" s="422"/>
      <c r="AM40" s="422"/>
      <c r="AN40" s="422"/>
      <c r="AO40" s="422"/>
      <c r="AP40" s="422"/>
      <c r="AQ40" s="78">
        <f t="shared" si="1"/>
        <v>0</v>
      </c>
      <c r="AR40" s="78">
        <f t="shared" si="2"/>
        <v>4695.7</v>
      </c>
      <c r="AS40" s="78">
        <f>I40-'2018dram'!B40</f>
        <v>0</v>
      </c>
      <c r="AT40" s="78">
        <f>J40-'2018dram'!C40</f>
        <v>0</v>
      </c>
      <c r="AU40" s="78">
        <f>K40-'2018dram'!D40-B40</f>
        <v>0</v>
      </c>
      <c r="AV40" s="78">
        <f>L40-'2018dram'!E40-C40</f>
        <v>0</v>
      </c>
      <c r="AW40" s="78">
        <f>M40-'2018dram'!F40-D40</f>
        <v>0</v>
      </c>
      <c r="AX40" s="78">
        <f>N40-'2018dram'!G40</f>
        <v>0</v>
      </c>
      <c r="AY40" s="78">
        <f>O40-'2018dram'!H40</f>
        <v>0</v>
      </c>
      <c r="AZ40" s="78">
        <f>P40-'2018dram'!I40</f>
        <v>0</v>
      </c>
      <c r="BA40" s="78">
        <f>Q40-'2018dram'!J40</f>
        <v>0</v>
      </c>
      <c r="BB40" s="78">
        <f>R40-'2018dram'!K40</f>
        <v>0</v>
      </c>
      <c r="BC40" s="78">
        <f>S40-'2018dram'!L40</f>
        <v>0</v>
      </c>
      <c r="BD40" s="78">
        <f>T40-'2018dram'!M40</f>
        <v>0</v>
      </c>
      <c r="BE40" s="78">
        <f>U40-'2018dram'!N40</f>
        <v>0</v>
      </c>
      <c r="BF40" s="78">
        <f>V40-'2018dram'!O40</f>
        <v>0</v>
      </c>
      <c r="BG40" s="78">
        <f>W40-'2018dram'!P40</f>
        <v>0</v>
      </c>
      <c r="BH40" s="78">
        <f>X40-'2018dram'!Q40</f>
        <v>0</v>
      </c>
      <c r="BI40" s="78">
        <f>Y40-'2018dram'!R40</f>
        <v>0</v>
      </c>
      <c r="BJ40" s="78">
        <f>Z40-'2018dram'!S40</f>
        <v>0</v>
      </c>
      <c r="BK40" s="78">
        <f>AA40-'2018dram'!T40</f>
        <v>0</v>
      </c>
      <c r="BL40" s="78">
        <f>AB40-'2018dram'!U40</f>
        <v>0</v>
      </c>
      <c r="BM40" s="78">
        <f>AC40-'2018dram'!V40-F40</f>
        <v>-33.89999999999982</v>
      </c>
      <c r="BN40" s="78"/>
      <c r="BO40" s="78"/>
      <c r="BP40" s="78"/>
      <c r="BQ40" s="296"/>
      <c r="BR40" s="300">
        <f t="shared" si="7"/>
        <v>-33.89999999999982</v>
      </c>
      <c r="BS40" s="335"/>
      <c r="BT40" s="482"/>
      <c r="BU40" s="482"/>
      <c r="BV40" s="482"/>
      <c r="BW40" s="482"/>
      <c r="BX40" s="482"/>
      <c r="BY40" s="483"/>
      <c r="BZ40" s="336"/>
      <c r="CA40" s="307">
        <f t="shared" si="4"/>
        <v>-33.89999999999982</v>
      </c>
      <c r="CB40" s="456"/>
      <c r="CC40" s="457"/>
      <c r="CD40" s="458">
        <f t="shared" si="5"/>
        <v>0</v>
      </c>
      <c r="CE40" s="216">
        <f t="shared" si="6"/>
        <v>4695.7</v>
      </c>
      <c r="CF40" s="484"/>
    </row>
    <row r="41" spans="1:84" s="8" customFormat="1" ht="15" customHeight="1">
      <c r="A41" s="277" t="s">
        <v>24</v>
      </c>
      <c r="B41" s="487"/>
      <c r="C41" s="488"/>
      <c r="D41" s="488"/>
      <c r="E41" s="479"/>
      <c r="F41" s="478">
        <f>'hoaki past18'!F24</f>
        <v>9.1</v>
      </c>
      <c r="G41" s="479"/>
      <c r="H41" s="270">
        <f t="shared" si="11"/>
        <v>9.1</v>
      </c>
      <c r="I41" s="486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81">
        <f>'hoaki past18'!I24</f>
        <v>3296.6</v>
      </c>
      <c r="AD41" s="404"/>
      <c r="AE41" s="404"/>
      <c r="AF41" s="404"/>
      <c r="AG41" s="405"/>
      <c r="AH41" s="422"/>
      <c r="AI41" s="76">
        <f>I41+J41+K41+L41+M41+N41+O41+P41+Q41+R41+S41+T41+U41+V41+W41+X41+Y41+Z41+AA41+AB41+AC41+AD41+AE41+AF41+AG41</f>
        <v>3296.6</v>
      </c>
      <c r="AJ41" s="76"/>
      <c r="AK41" s="404"/>
      <c r="AL41" s="404"/>
      <c r="AM41" s="404"/>
      <c r="AN41" s="404"/>
      <c r="AO41" s="404"/>
      <c r="AP41" s="404"/>
      <c r="AQ41" s="78">
        <f t="shared" si="1"/>
        <v>0</v>
      </c>
      <c r="AR41" s="78">
        <f t="shared" si="2"/>
        <v>3296.6</v>
      </c>
      <c r="AS41" s="78">
        <f>I41-'2018dram'!B41</f>
        <v>0</v>
      </c>
      <c r="AT41" s="78">
        <f>J41-'2018dram'!C41</f>
        <v>0</v>
      </c>
      <c r="AU41" s="78">
        <f>K41-'2018dram'!D41-B41</f>
        <v>0</v>
      </c>
      <c r="AV41" s="78">
        <f>L41-'2018dram'!E41-C41</f>
        <v>0</v>
      </c>
      <c r="AW41" s="78">
        <f>M41-'2018dram'!F41-D41</f>
        <v>0</v>
      </c>
      <c r="AX41" s="78">
        <f>N41-'2018dram'!G41</f>
        <v>0</v>
      </c>
      <c r="AY41" s="78">
        <f>O41-'2018dram'!H41</f>
        <v>0</v>
      </c>
      <c r="AZ41" s="78">
        <f>P41-'2018dram'!I41</f>
        <v>0</v>
      </c>
      <c r="BA41" s="78">
        <f>Q41-'2018dram'!J41</f>
        <v>0</v>
      </c>
      <c r="BB41" s="78">
        <f>R41-'2018dram'!K41</f>
        <v>0</v>
      </c>
      <c r="BC41" s="78">
        <f>S41-'2018dram'!L41</f>
        <v>0</v>
      </c>
      <c r="BD41" s="78">
        <f>T41-'2018dram'!M41</f>
        <v>0</v>
      </c>
      <c r="BE41" s="78">
        <f>U41-'2018dram'!N41</f>
        <v>0</v>
      </c>
      <c r="BF41" s="78">
        <f>V41-'2018dram'!O41</f>
        <v>0</v>
      </c>
      <c r="BG41" s="78">
        <f>W41-'2018dram'!P41</f>
        <v>0</v>
      </c>
      <c r="BH41" s="78">
        <f>X41-'2018dram'!Q41</f>
        <v>0</v>
      </c>
      <c r="BI41" s="78">
        <f>Y41-'2018dram'!R41</f>
        <v>0</v>
      </c>
      <c r="BJ41" s="78">
        <f>Z41-'2018dram'!S41</f>
        <v>0</v>
      </c>
      <c r="BK41" s="78">
        <f>AA41-'2018dram'!T41</f>
        <v>0</v>
      </c>
      <c r="BL41" s="78">
        <f>AB41-'2018dram'!U41</f>
        <v>0</v>
      </c>
      <c r="BM41" s="78">
        <f>AC41-'2018dram'!V41-F41</f>
        <v>161.09999999999982</v>
      </c>
      <c r="BN41" s="78"/>
      <c r="BO41" s="78"/>
      <c r="BP41" s="78"/>
      <c r="BQ41" s="296"/>
      <c r="BR41" s="300">
        <f t="shared" si="7"/>
        <v>161.09999999999982</v>
      </c>
      <c r="BS41" s="335"/>
      <c r="BT41" s="482"/>
      <c r="BU41" s="482"/>
      <c r="BV41" s="482"/>
      <c r="BW41" s="482"/>
      <c r="BX41" s="482"/>
      <c r="BY41" s="483"/>
      <c r="BZ41" s="336"/>
      <c r="CA41" s="307">
        <f t="shared" si="4"/>
        <v>161.09999999999982</v>
      </c>
      <c r="CB41" s="461"/>
      <c r="CC41" s="462"/>
      <c r="CD41" s="416">
        <f t="shared" si="5"/>
        <v>0</v>
      </c>
      <c r="CE41" s="216">
        <f t="shared" si="6"/>
        <v>3296.6</v>
      </c>
      <c r="CF41" s="484"/>
    </row>
    <row r="42" spans="1:84" s="8" customFormat="1" ht="15" customHeight="1">
      <c r="A42" s="277" t="s">
        <v>25</v>
      </c>
      <c r="B42" s="487"/>
      <c r="C42" s="488"/>
      <c r="D42" s="488"/>
      <c r="E42" s="479"/>
      <c r="F42" s="478">
        <f>'hoaki past18'!F25</f>
        <v>15</v>
      </c>
      <c r="G42" s="479"/>
      <c r="H42" s="270">
        <f t="shared" si="11"/>
        <v>15</v>
      </c>
      <c r="I42" s="486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81">
        <f>'hoaki past18'!I25</f>
        <v>5540.4</v>
      </c>
      <c r="AD42" s="404"/>
      <c r="AE42" s="404"/>
      <c r="AF42" s="404"/>
      <c r="AG42" s="405"/>
      <c r="AH42" s="422"/>
      <c r="AI42" s="76">
        <f>I42+J42+K42+L42+M42+N42+O42+P42+Q42+R42+S42+T42+U42+V42+W42+X42+Y42+Z42+AA42+AB42+AC42+AD42+AE42+AF42+AG42</f>
        <v>5540.4</v>
      </c>
      <c r="AJ42" s="76"/>
      <c r="AK42" s="404"/>
      <c r="AL42" s="404"/>
      <c r="AM42" s="404"/>
      <c r="AN42" s="404"/>
      <c r="AO42" s="404"/>
      <c r="AP42" s="404"/>
      <c r="AQ42" s="78">
        <f t="shared" si="1"/>
        <v>0</v>
      </c>
      <c r="AR42" s="78">
        <f t="shared" si="2"/>
        <v>5540.4</v>
      </c>
      <c r="AS42" s="78">
        <f>I42-'2018dram'!B42</f>
        <v>0</v>
      </c>
      <c r="AT42" s="78">
        <f>J42-'2018dram'!C42</f>
        <v>0</v>
      </c>
      <c r="AU42" s="78">
        <f>K42-'2018dram'!D42-B42</f>
        <v>0</v>
      </c>
      <c r="AV42" s="78">
        <f>L42-'2018dram'!E42-C42</f>
        <v>0</v>
      </c>
      <c r="AW42" s="78">
        <f>M42-'2018dram'!F42-D42</f>
        <v>0</v>
      </c>
      <c r="AX42" s="78">
        <f>N42-'2018dram'!G42</f>
        <v>0</v>
      </c>
      <c r="AY42" s="78">
        <f>O42-'2018dram'!H42</f>
        <v>0</v>
      </c>
      <c r="AZ42" s="78">
        <f>P42-'2018dram'!I42</f>
        <v>0</v>
      </c>
      <c r="BA42" s="78">
        <f>Q42-'2018dram'!J42</f>
        <v>0</v>
      </c>
      <c r="BB42" s="78">
        <f>R42-'2018dram'!K42</f>
        <v>0</v>
      </c>
      <c r="BC42" s="78">
        <f>S42-'2018dram'!L42</f>
        <v>0</v>
      </c>
      <c r="BD42" s="78">
        <f>T42-'2018dram'!M42</f>
        <v>0</v>
      </c>
      <c r="BE42" s="78">
        <f>U42-'2018dram'!N42</f>
        <v>0</v>
      </c>
      <c r="BF42" s="78">
        <f>V42-'2018dram'!O42</f>
        <v>0</v>
      </c>
      <c r="BG42" s="78">
        <f>W42-'2018dram'!P42</f>
        <v>0</v>
      </c>
      <c r="BH42" s="78">
        <f>X42-'2018dram'!Q42</f>
        <v>0</v>
      </c>
      <c r="BI42" s="78">
        <f>Y42-'2018dram'!R42</f>
        <v>0</v>
      </c>
      <c r="BJ42" s="78">
        <f>Z42-'2018dram'!S42</f>
        <v>0</v>
      </c>
      <c r="BK42" s="78">
        <f>AA42-'2018dram'!T42</f>
        <v>0</v>
      </c>
      <c r="BL42" s="78">
        <f>AB42-'2018dram'!U42</f>
        <v>0</v>
      </c>
      <c r="BM42" s="78">
        <f>AC42-'2018dram'!V42-F42</f>
        <v>-146.40000000000055</v>
      </c>
      <c r="BN42" s="78"/>
      <c r="BO42" s="78"/>
      <c r="BP42" s="78"/>
      <c r="BQ42" s="296"/>
      <c r="BR42" s="300">
        <f t="shared" si="7"/>
        <v>-146.40000000000055</v>
      </c>
      <c r="BS42" s="335"/>
      <c r="BT42" s="482"/>
      <c r="BU42" s="482"/>
      <c r="BV42" s="482"/>
      <c r="BW42" s="482"/>
      <c r="BX42" s="482"/>
      <c r="BY42" s="483"/>
      <c r="BZ42" s="336"/>
      <c r="CA42" s="307">
        <f t="shared" si="4"/>
        <v>-146.40000000000055</v>
      </c>
      <c r="CB42" s="461"/>
      <c r="CC42" s="462"/>
      <c r="CD42" s="416">
        <f t="shared" si="5"/>
        <v>0</v>
      </c>
      <c r="CE42" s="216">
        <f t="shared" si="6"/>
        <v>5540.4</v>
      </c>
      <c r="CF42" s="484"/>
    </row>
    <row r="43" spans="1:84" s="8" customFormat="1" ht="15" customHeight="1">
      <c r="A43" s="277" t="s">
        <v>89</v>
      </c>
      <c r="B43" s="487"/>
      <c r="C43" s="488"/>
      <c r="D43" s="488"/>
      <c r="E43" s="479"/>
      <c r="F43" s="478">
        <f>'hoaki past18'!F26</f>
        <v>0</v>
      </c>
      <c r="G43" s="479"/>
      <c r="H43" s="270">
        <f t="shared" si="11"/>
        <v>0</v>
      </c>
      <c r="I43" s="486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81">
        <f>'hoaki past18'!I26</f>
        <v>317.5</v>
      </c>
      <c r="AD43" s="404"/>
      <c r="AE43" s="404"/>
      <c r="AF43" s="404"/>
      <c r="AG43" s="405"/>
      <c r="AH43" s="422"/>
      <c r="AI43" s="76">
        <f>I43+J43+K43+L43+M43+N43+O43+P43+Q43+R43+S43+T43+U43+V43+W43+X43+Y43+Z43+AA43+AB43+AC43+AD43+AE43+AF43+AG43</f>
        <v>317.5</v>
      </c>
      <c r="AJ43" s="76"/>
      <c r="AK43" s="404"/>
      <c r="AL43" s="404"/>
      <c r="AM43" s="404"/>
      <c r="AN43" s="404"/>
      <c r="AO43" s="404"/>
      <c r="AP43" s="404"/>
      <c r="AQ43" s="78">
        <f t="shared" si="1"/>
        <v>0</v>
      </c>
      <c r="AR43" s="78">
        <f t="shared" si="2"/>
        <v>317.5</v>
      </c>
      <c r="AS43" s="78">
        <f>I43-'2018dram'!B43</f>
        <v>0</v>
      </c>
      <c r="AT43" s="78">
        <f>J43-'2018dram'!C43</f>
        <v>0</v>
      </c>
      <c r="AU43" s="78">
        <f>K43-'2018dram'!D43-B43</f>
        <v>0</v>
      </c>
      <c r="AV43" s="78">
        <f>L43-'2018dram'!E43-C43</f>
        <v>0</v>
      </c>
      <c r="AW43" s="78">
        <f>M43-'2018dram'!F43-D43</f>
        <v>0</v>
      </c>
      <c r="AX43" s="78">
        <f>N43-'2018dram'!G43</f>
        <v>0</v>
      </c>
      <c r="AY43" s="78">
        <f>O43-'2018dram'!H43</f>
        <v>0</v>
      </c>
      <c r="AZ43" s="78">
        <f>P43-'2018dram'!I43</f>
        <v>0</v>
      </c>
      <c r="BA43" s="78">
        <f>Q43-'2018dram'!J43</f>
        <v>0</v>
      </c>
      <c r="BB43" s="78">
        <f>R43-'2018dram'!K43</f>
        <v>0</v>
      </c>
      <c r="BC43" s="78">
        <f>S43-'2018dram'!L43</f>
        <v>0</v>
      </c>
      <c r="BD43" s="78">
        <f>T43-'2018dram'!M43</f>
        <v>0</v>
      </c>
      <c r="BE43" s="78">
        <f>U43-'2018dram'!N43</f>
        <v>0</v>
      </c>
      <c r="BF43" s="78">
        <f>V43-'2018dram'!O43</f>
        <v>0</v>
      </c>
      <c r="BG43" s="78">
        <f>W43-'2018dram'!P43</f>
        <v>0</v>
      </c>
      <c r="BH43" s="78">
        <f>X43-'2018dram'!Q43</f>
        <v>0</v>
      </c>
      <c r="BI43" s="78">
        <f>Y43-'2018dram'!R43</f>
        <v>0</v>
      </c>
      <c r="BJ43" s="78">
        <f>Z43-'2018dram'!S43</f>
        <v>0</v>
      </c>
      <c r="BK43" s="78">
        <f>AA43-'2018dram'!T43</f>
        <v>0</v>
      </c>
      <c r="BL43" s="78">
        <f>AB43-'2018dram'!U43</f>
        <v>0</v>
      </c>
      <c r="BM43" s="78">
        <f>AC43-'2018dram'!V43-F43</f>
        <v>3.5</v>
      </c>
      <c r="BN43" s="78"/>
      <c r="BO43" s="78"/>
      <c r="BP43" s="78"/>
      <c r="BQ43" s="296"/>
      <c r="BR43" s="300">
        <f t="shared" si="7"/>
        <v>3.5</v>
      </c>
      <c r="BS43" s="335"/>
      <c r="BT43" s="482"/>
      <c r="BU43" s="482"/>
      <c r="BV43" s="482"/>
      <c r="BW43" s="482"/>
      <c r="BX43" s="482"/>
      <c r="BY43" s="483"/>
      <c r="BZ43" s="336"/>
      <c r="CA43" s="307">
        <f t="shared" si="4"/>
        <v>3.5</v>
      </c>
      <c r="CB43" s="461"/>
      <c r="CC43" s="462"/>
      <c r="CD43" s="416">
        <f t="shared" si="5"/>
        <v>0</v>
      </c>
      <c r="CE43" s="216">
        <f t="shared" si="6"/>
        <v>317.5</v>
      </c>
      <c r="CF43" s="484"/>
    </row>
    <row r="44" spans="1:84" s="8" customFormat="1" ht="15" customHeight="1" thickBot="1">
      <c r="A44" s="277" t="s">
        <v>115</v>
      </c>
      <c r="B44" s="489"/>
      <c r="C44" s="490"/>
      <c r="D44" s="490"/>
      <c r="E44" s="491"/>
      <c r="F44" s="478">
        <f>'hoaki past18'!F27</f>
        <v>342.6</v>
      </c>
      <c r="G44" s="491"/>
      <c r="H44" s="270">
        <f>B44+C44+D44+F44+G44</f>
        <v>342.6</v>
      </c>
      <c r="I44" s="493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81">
        <f>'hoaki past18'!I27</f>
        <v>6497.299999999999</v>
      </c>
      <c r="AD44" s="427"/>
      <c r="AE44" s="427"/>
      <c r="AF44" s="427"/>
      <c r="AG44" s="428"/>
      <c r="AH44" s="412"/>
      <c r="AI44" s="76">
        <f>I44+J44+K44+L44+M44+N44+O44+P44+Q44+R44+S44+T44+U44+V44+W44+X44+Y44+Z44+AA44+AB44+AC44+AD44+AE44+AF44+AG44</f>
        <v>6497.299999999999</v>
      </c>
      <c r="AJ44" s="161"/>
      <c r="AK44" s="427"/>
      <c r="AL44" s="427"/>
      <c r="AM44" s="427"/>
      <c r="AN44" s="427"/>
      <c r="AO44" s="427"/>
      <c r="AP44" s="427"/>
      <c r="AQ44" s="78">
        <f t="shared" si="1"/>
        <v>0</v>
      </c>
      <c r="AR44" s="78">
        <f t="shared" si="2"/>
        <v>6497.299999999999</v>
      </c>
      <c r="AS44" s="78">
        <f>I44-'2018dram'!B44</f>
        <v>0</v>
      </c>
      <c r="AT44" s="78">
        <f>J44-'2018dram'!C44</f>
        <v>0</v>
      </c>
      <c r="AU44" s="78">
        <f>K44-'2018dram'!D44-B44</f>
        <v>0</v>
      </c>
      <c r="AV44" s="78">
        <f>L44-'2018dram'!E44-C44</f>
        <v>0</v>
      </c>
      <c r="AW44" s="78">
        <f>M44-'2018dram'!F44-D44</f>
        <v>0</v>
      </c>
      <c r="AX44" s="78">
        <f>N44-'2018dram'!G44</f>
        <v>0</v>
      </c>
      <c r="AY44" s="78">
        <f>O44-'2018dram'!H44</f>
        <v>0</v>
      </c>
      <c r="AZ44" s="78">
        <f>P44-'2018dram'!I44</f>
        <v>0</v>
      </c>
      <c r="BA44" s="78">
        <f>Q44-'2018dram'!J44</f>
        <v>0</v>
      </c>
      <c r="BB44" s="78">
        <f>R44-'2018dram'!K44</f>
        <v>0</v>
      </c>
      <c r="BC44" s="78">
        <f>S44-'2018dram'!L44</f>
        <v>0</v>
      </c>
      <c r="BD44" s="78">
        <f>T44-'2018dram'!M44</f>
        <v>0</v>
      </c>
      <c r="BE44" s="78">
        <f>U44-'2018dram'!N44</f>
        <v>0</v>
      </c>
      <c r="BF44" s="78">
        <f>V44-'2018dram'!O44</f>
        <v>0</v>
      </c>
      <c r="BG44" s="78">
        <f>W44-'2018dram'!P44</f>
        <v>0</v>
      </c>
      <c r="BH44" s="78">
        <f>X44-'2018dram'!Q44</f>
        <v>0</v>
      </c>
      <c r="BI44" s="78">
        <f>Y44-'2018dram'!R44</f>
        <v>0</v>
      </c>
      <c r="BJ44" s="78">
        <f>Z44-'2018dram'!S44</f>
        <v>0</v>
      </c>
      <c r="BK44" s="78">
        <f>AA44-'2018dram'!T44</f>
        <v>0</v>
      </c>
      <c r="BL44" s="78">
        <f>AB44-'2018dram'!U44</f>
        <v>0</v>
      </c>
      <c r="BM44" s="78">
        <f>AC44-'2018dram'!V44-F44</f>
        <v>1466.4999999999995</v>
      </c>
      <c r="BN44" s="78"/>
      <c r="BO44" s="78"/>
      <c r="BP44" s="78"/>
      <c r="BQ44" s="296"/>
      <c r="BR44" s="300">
        <f t="shared" si="7"/>
        <v>1466.4999999999995</v>
      </c>
      <c r="BS44" s="335"/>
      <c r="BT44" s="495"/>
      <c r="BU44" s="495"/>
      <c r="BV44" s="495"/>
      <c r="BW44" s="495"/>
      <c r="BX44" s="495"/>
      <c r="BY44" s="496"/>
      <c r="BZ44" s="336"/>
      <c r="CA44" s="307">
        <f t="shared" si="4"/>
        <v>1466.4999999999995</v>
      </c>
      <c r="CB44" s="461"/>
      <c r="CC44" s="462"/>
      <c r="CD44" s="416">
        <f t="shared" si="5"/>
        <v>0</v>
      </c>
      <c r="CE44" s="216">
        <f t="shared" si="6"/>
        <v>6497.299999999999</v>
      </c>
      <c r="CF44" s="484"/>
    </row>
    <row r="45" spans="1:84" s="333" customFormat="1" ht="24.75" customHeight="1" thickBot="1">
      <c r="A45" s="341" t="s">
        <v>137</v>
      </c>
      <c r="B45" s="515">
        <f>B33+B39+B40+B41+B42+B43+B44</f>
        <v>0</v>
      </c>
      <c r="C45" s="515">
        <f aca="true" t="shared" si="18" ref="C45:CA45">C33+C39+C40+C41+C42+C43+C44</f>
        <v>0</v>
      </c>
      <c r="D45" s="515">
        <f t="shared" si="18"/>
        <v>0</v>
      </c>
      <c r="E45" s="515">
        <f>E33+E39+E40+E41+E42+E43+E44</f>
        <v>0</v>
      </c>
      <c r="F45" s="515">
        <f>F33+F39+F40+F41+F42+F43+F44</f>
        <v>1688.1999999999998</v>
      </c>
      <c r="G45" s="515">
        <f t="shared" si="18"/>
        <v>0</v>
      </c>
      <c r="H45" s="516">
        <f t="shared" si="18"/>
        <v>1688.1999999999998</v>
      </c>
      <c r="I45" s="517">
        <f t="shared" si="18"/>
        <v>0</v>
      </c>
      <c r="J45" s="515">
        <f t="shared" si="18"/>
        <v>0</v>
      </c>
      <c r="K45" s="515">
        <f t="shared" si="18"/>
        <v>0</v>
      </c>
      <c r="L45" s="515">
        <f t="shared" si="18"/>
        <v>0</v>
      </c>
      <c r="M45" s="515">
        <f t="shared" si="18"/>
        <v>0</v>
      </c>
      <c r="N45" s="515">
        <f t="shared" si="18"/>
        <v>0</v>
      </c>
      <c r="O45" s="515">
        <f t="shared" si="18"/>
        <v>0</v>
      </c>
      <c r="P45" s="515">
        <f t="shared" si="18"/>
        <v>0</v>
      </c>
      <c r="Q45" s="515">
        <f t="shared" si="18"/>
        <v>0</v>
      </c>
      <c r="R45" s="515">
        <f t="shared" si="18"/>
        <v>0</v>
      </c>
      <c r="S45" s="515">
        <f t="shared" si="18"/>
        <v>0</v>
      </c>
      <c r="T45" s="515">
        <f t="shared" si="18"/>
        <v>0</v>
      </c>
      <c r="U45" s="515">
        <f t="shared" si="18"/>
        <v>0</v>
      </c>
      <c r="V45" s="515">
        <f t="shared" si="18"/>
        <v>0</v>
      </c>
      <c r="W45" s="515">
        <f t="shared" si="18"/>
        <v>0</v>
      </c>
      <c r="X45" s="515">
        <f t="shared" si="18"/>
        <v>0</v>
      </c>
      <c r="Y45" s="515">
        <f t="shared" si="18"/>
        <v>0</v>
      </c>
      <c r="Z45" s="515">
        <f t="shared" si="18"/>
        <v>0</v>
      </c>
      <c r="AA45" s="515">
        <f t="shared" si="18"/>
        <v>0</v>
      </c>
      <c r="AB45" s="515">
        <f t="shared" si="18"/>
        <v>0</v>
      </c>
      <c r="AC45" s="515">
        <f t="shared" si="18"/>
        <v>92999.1</v>
      </c>
      <c r="AD45" s="515">
        <f t="shared" si="18"/>
        <v>662.6</v>
      </c>
      <c r="AE45" s="515">
        <f t="shared" si="18"/>
        <v>0</v>
      </c>
      <c r="AF45" s="515">
        <f t="shared" si="18"/>
        <v>0</v>
      </c>
      <c r="AG45" s="515">
        <f aca="true" t="shared" si="19" ref="AG45:AL45">AG33+AG39+AG40+AG41+AG42+AG43+AG44</f>
        <v>0</v>
      </c>
      <c r="AH45" s="515">
        <f t="shared" si="19"/>
        <v>0</v>
      </c>
      <c r="AI45" s="515">
        <f t="shared" si="19"/>
        <v>93661.7</v>
      </c>
      <c r="AJ45" s="515">
        <f t="shared" si="19"/>
        <v>0</v>
      </c>
      <c r="AK45" s="515">
        <f t="shared" si="19"/>
        <v>0</v>
      </c>
      <c r="AL45" s="515">
        <f t="shared" si="19"/>
        <v>0</v>
      </c>
      <c r="AM45" s="515">
        <f t="shared" si="18"/>
        <v>0</v>
      </c>
      <c r="AN45" s="515">
        <f t="shared" si="18"/>
        <v>0</v>
      </c>
      <c r="AO45" s="515">
        <f t="shared" si="18"/>
        <v>0</v>
      </c>
      <c r="AP45" s="515">
        <f t="shared" si="18"/>
        <v>0</v>
      </c>
      <c r="AQ45" s="515">
        <f t="shared" si="18"/>
        <v>0</v>
      </c>
      <c r="AR45" s="515">
        <f t="shared" si="18"/>
        <v>93661.7</v>
      </c>
      <c r="AS45" s="515">
        <f t="shared" si="18"/>
        <v>0</v>
      </c>
      <c r="AT45" s="515">
        <f t="shared" si="18"/>
        <v>0</v>
      </c>
      <c r="AU45" s="515">
        <f t="shared" si="18"/>
        <v>0</v>
      </c>
      <c r="AV45" s="515">
        <f t="shared" si="18"/>
        <v>0</v>
      </c>
      <c r="AW45" s="515">
        <f t="shared" si="18"/>
        <v>0</v>
      </c>
      <c r="AX45" s="515">
        <f t="shared" si="18"/>
        <v>0</v>
      </c>
      <c r="AY45" s="515">
        <f t="shared" si="18"/>
        <v>0</v>
      </c>
      <c r="AZ45" s="515">
        <f t="shared" si="18"/>
        <v>0</v>
      </c>
      <c r="BA45" s="515">
        <f t="shared" si="18"/>
        <v>0</v>
      </c>
      <c r="BB45" s="515">
        <f t="shared" si="18"/>
        <v>0</v>
      </c>
      <c r="BC45" s="515">
        <f t="shared" si="18"/>
        <v>0</v>
      </c>
      <c r="BD45" s="515">
        <f t="shared" si="18"/>
        <v>0</v>
      </c>
      <c r="BE45" s="515">
        <f t="shared" si="18"/>
        <v>0</v>
      </c>
      <c r="BF45" s="515">
        <f t="shared" si="18"/>
        <v>0</v>
      </c>
      <c r="BG45" s="515">
        <f t="shared" si="18"/>
        <v>0</v>
      </c>
      <c r="BH45" s="515">
        <f t="shared" si="18"/>
        <v>0</v>
      </c>
      <c r="BI45" s="515">
        <f t="shared" si="18"/>
        <v>0</v>
      </c>
      <c r="BJ45" s="515">
        <f t="shared" si="18"/>
        <v>0</v>
      </c>
      <c r="BK45" s="515">
        <f t="shared" si="18"/>
        <v>0</v>
      </c>
      <c r="BL45" s="515">
        <f t="shared" si="18"/>
        <v>0</v>
      </c>
      <c r="BM45" s="515">
        <f t="shared" si="18"/>
        <v>1904.799999999998</v>
      </c>
      <c r="BN45" s="515">
        <f t="shared" si="18"/>
        <v>0</v>
      </c>
      <c r="BO45" s="515">
        <f t="shared" si="18"/>
        <v>0</v>
      </c>
      <c r="BP45" s="515">
        <f t="shared" si="18"/>
        <v>0</v>
      </c>
      <c r="BQ45" s="518">
        <f t="shared" si="18"/>
        <v>0</v>
      </c>
      <c r="BR45" s="516">
        <f>BR33+BR39+BR40+BR41+BR42+BR43+BR44</f>
        <v>1904.799999999998</v>
      </c>
      <c r="BS45" s="519">
        <f>BS33+BS39+BS40+BS41+BS42+BS43+BS44</f>
        <v>0</v>
      </c>
      <c r="BT45" s="520">
        <f>BT33+BT39+BT40+BT41+BT42+BT43+BT44</f>
        <v>0</v>
      </c>
      <c r="BU45" s="520">
        <f>BU33+BU39+BU40+BU41+BU42+BU43+BU44</f>
        <v>0</v>
      </c>
      <c r="BV45" s="520">
        <f t="shared" si="18"/>
        <v>0</v>
      </c>
      <c r="BW45" s="520">
        <f t="shared" si="18"/>
        <v>0</v>
      </c>
      <c r="BX45" s="520">
        <f t="shared" si="18"/>
        <v>0</v>
      </c>
      <c r="BY45" s="521">
        <f t="shared" si="18"/>
        <v>0</v>
      </c>
      <c r="BZ45" s="522">
        <f t="shared" si="18"/>
        <v>0</v>
      </c>
      <c r="CA45" s="523">
        <f t="shared" si="18"/>
        <v>1904.799999999998</v>
      </c>
      <c r="CB45" s="524">
        <f>CB33+CB39+CB40+CB41+CB42+CB43+CB44</f>
        <v>0</v>
      </c>
      <c r="CC45" s="525">
        <f>CC33+CC39+CC40+CC41+CC42+CC43+CC44</f>
        <v>0</v>
      </c>
      <c r="CD45" s="525">
        <f>CD33+CD39+CD40+CD41+CD42+CD43+CD44</f>
        <v>0</v>
      </c>
      <c r="CE45" s="526">
        <f>CE33+CE39+CE40+CE41+CE42+CE43+CE44</f>
        <v>93661.7</v>
      </c>
      <c r="CF45" s="527"/>
    </row>
    <row r="46" spans="1:84" s="334" customFormat="1" ht="22.5" customHeight="1" thickBot="1">
      <c r="A46" s="342" t="s">
        <v>22</v>
      </c>
      <c r="B46" s="528">
        <f>B45+B20</f>
        <v>441.8</v>
      </c>
      <c r="C46" s="529">
        <f aca="true" t="shared" si="20" ref="C46:BQ46">C45+C20</f>
        <v>10.5</v>
      </c>
      <c r="D46" s="529">
        <f t="shared" si="20"/>
        <v>112.3</v>
      </c>
      <c r="E46" s="529">
        <f>E45+E20</f>
        <v>-1071.6</v>
      </c>
      <c r="F46" s="529">
        <f>F45+F20</f>
        <v>1688.1999999999998</v>
      </c>
      <c r="G46" s="529">
        <f t="shared" si="20"/>
        <v>10478.3</v>
      </c>
      <c r="H46" s="530">
        <f t="shared" si="20"/>
        <v>11659.5</v>
      </c>
      <c r="I46" s="531">
        <f t="shared" si="20"/>
        <v>38876.00000000001</v>
      </c>
      <c r="J46" s="532">
        <f t="shared" si="20"/>
        <v>380</v>
      </c>
      <c r="K46" s="529">
        <f t="shared" si="20"/>
        <v>2873.8</v>
      </c>
      <c r="L46" s="529">
        <f t="shared" si="20"/>
        <v>170.1</v>
      </c>
      <c r="M46" s="529">
        <f t="shared" si="20"/>
        <v>898.8000000000001</v>
      </c>
      <c r="N46" s="529">
        <f t="shared" si="20"/>
        <v>0</v>
      </c>
      <c r="O46" s="529">
        <f t="shared" si="20"/>
        <v>22.8</v>
      </c>
      <c r="P46" s="529">
        <f t="shared" si="20"/>
        <v>0</v>
      </c>
      <c r="Q46" s="529">
        <f t="shared" si="20"/>
        <v>152.4</v>
      </c>
      <c r="R46" s="529">
        <f t="shared" si="20"/>
        <v>0</v>
      </c>
      <c r="S46" s="532">
        <f t="shared" si="20"/>
        <v>780</v>
      </c>
      <c r="T46" s="529">
        <f t="shared" si="20"/>
        <v>509.6</v>
      </c>
      <c r="U46" s="529">
        <f t="shared" si="20"/>
        <v>1036.2</v>
      </c>
      <c r="V46" s="529">
        <f t="shared" si="20"/>
        <v>0</v>
      </c>
      <c r="W46" s="532">
        <f t="shared" si="20"/>
        <v>146</v>
      </c>
      <c r="X46" s="529">
        <f t="shared" si="20"/>
        <v>984.2</v>
      </c>
      <c r="Y46" s="529">
        <f t="shared" si="20"/>
        <v>0</v>
      </c>
      <c r="Z46" s="529">
        <f t="shared" si="20"/>
        <v>10727.1</v>
      </c>
      <c r="AA46" s="529">
        <f t="shared" si="20"/>
        <v>148.4</v>
      </c>
      <c r="AB46" s="529">
        <f t="shared" si="20"/>
        <v>250</v>
      </c>
      <c r="AC46" s="529">
        <f t="shared" si="20"/>
        <v>92999.1</v>
      </c>
      <c r="AD46" s="529">
        <f t="shared" si="20"/>
        <v>662.6</v>
      </c>
      <c r="AE46" s="529">
        <f t="shared" si="20"/>
        <v>784.4</v>
      </c>
      <c r="AF46" s="532">
        <f t="shared" si="20"/>
        <v>400</v>
      </c>
      <c r="AG46" s="529">
        <f aca="true" t="shared" si="21" ref="AG46:AL46">AG45+AG20</f>
        <v>963.1999999999999</v>
      </c>
      <c r="AH46" s="529">
        <f t="shared" si="21"/>
        <v>0</v>
      </c>
      <c r="AI46" s="529">
        <f t="shared" si="21"/>
        <v>153764.7</v>
      </c>
      <c r="AJ46" s="529">
        <f t="shared" si="21"/>
        <v>0</v>
      </c>
      <c r="AK46" s="532">
        <f t="shared" si="21"/>
        <v>8108.6</v>
      </c>
      <c r="AL46" s="529">
        <f t="shared" si="21"/>
        <v>0</v>
      </c>
      <c r="AM46" s="529">
        <f t="shared" si="20"/>
        <v>0</v>
      </c>
      <c r="AN46" s="529">
        <f t="shared" si="20"/>
        <v>1475</v>
      </c>
      <c r="AO46" s="532">
        <f t="shared" si="20"/>
        <v>0</v>
      </c>
      <c r="AP46" s="529">
        <f t="shared" si="20"/>
        <v>1000</v>
      </c>
      <c r="AQ46" s="529">
        <f t="shared" si="20"/>
        <v>10583.6</v>
      </c>
      <c r="AR46" s="529">
        <f t="shared" si="20"/>
        <v>164348.3</v>
      </c>
      <c r="AS46" s="529">
        <f t="shared" si="20"/>
        <v>-240.79999999999927</v>
      </c>
      <c r="AT46" s="529">
        <f t="shared" si="20"/>
        <v>0</v>
      </c>
      <c r="AU46" s="529">
        <f t="shared" si="20"/>
        <v>611.7</v>
      </c>
      <c r="AV46" s="529">
        <f t="shared" si="20"/>
        <v>56.59999999999999</v>
      </c>
      <c r="AW46" s="529">
        <f t="shared" si="20"/>
        <v>231.39999999999998</v>
      </c>
      <c r="AX46" s="529">
        <f t="shared" si="20"/>
        <v>0</v>
      </c>
      <c r="AY46" s="529">
        <f t="shared" si="20"/>
        <v>0</v>
      </c>
      <c r="AZ46" s="529">
        <f t="shared" si="20"/>
        <v>0</v>
      </c>
      <c r="BA46" s="529">
        <f t="shared" si="20"/>
        <v>22</v>
      </c>
      <c r="BB46" s="529">
        <f t="shared" si="20"/>
        <v>0</v>
      </c>
      <c r="BC46" s="529">
        <f t="shared" si="20"/>
        <v>0</v>
      </c>
      <c r="BD46" s="529">
        <f t="shared" si="20"/>
        <v>0</v>
      </c>
      <c r="BE46" s="529">
        <f t="shared" si="20"/>
        <v>0</v>
      </c>
      <c r="BF46" s="533">
        <f t="shared" si="20"/>
        <v>1071.6</v>
      </c>
      <c r="BG46" s="529">
        <f t="shared" si="20"/>
        <v>0</v>
      </c>
      <c r="BH46" s="529">
        <f t="shared" si="20"/>
        <v>8</v>
      </c>
      <c r="BI46" s="529">
        <f t="shared" si="20"/>
        <v>0</v>
      </c>
      <c r="BJ46" s="529">
        <f t="shared" si="20"/>
        <v>0</v>
      </c>
      <c r="BK46" s="529">
        <f t="shared" si="20"/>
        <v>0</v>
      </c>
      <c r="BL46" s="529">
        <f t="shared" si="20"/>
        <v>0</v>
      </c>
      <c r="BM46" s="529">
        <f t="shared" si="20"/>
        <v>1904.799999999998</v>
      </c>
      <c r="BN46" s="529">
        <f t="shared" si="20"/>
        <v>0</v>
      </c>
      <c r="BO46" s="529">
        <f t="shared" si="20"/>
        <v>0</v>
      </c>
      <c r="BP46" s="529">
        <f t="shared" si="20"/>
        <v>0</v>
      </c>
      <c r="BQ46" s="534">
        <f t="shared" si="20"/>
        <v>920.4</v>
      </c>
      <c r="BR46" s="535">
        <f>BR45+BR20</f>
        <v>4585.699999999999</v>
      </c>
      <c r="BS46" s="531">
        <f>BS45+BS20</f>
        <v>0</v>
      </c>
      <c r="BT46" s="532">
        <f>BT45+BT20</f>
        <v>-2554.699999999999</v>
      </c>
      <c r="BU46" s="529">
        <f>BU45+BU20</f>
        <v>0</v>
      </c>
      <c r="BV46" s="529">
        <f aca="true" t="shared" si="22" ref="BV46:CD46">BV45+BV20</f>
        <v>0</v>
      </c>
      <c r="BW46" s="529">
        <f t="shared" si="22"/>
        <v>0</v>
      </c>
      <c r="BX46" s="529">
        <f t="shared" si="22"/>
        <v>0</v>
      </c>
      <c r="BY46" s="544">
        <f t="shared" si="22"/>
        <v>70</v>
      </c>
      <c r="BZ46" s="536">
        <f t="shared" si="22"/>
        <v>-2484.699999999999</v>
      </c>
      <c r="CA46" s="537">
        <f t="shared" si="22"/>
        <v>2100.9999999999995</v>
      </c>
      <c r="CB46" s="538">
        <f t="shared" si="22"/>
        <v>0</v>
      </c>
      <c r="CC46" s="539">
        <f t="shared" si="22"/>
        <v>-3929.6</v>
      </c>
      <c r="CD46" s="539">
        <f t="shared" si="22"/>
        <v>-3929.6</v>
      </c>
      <c r="CE46" s="540">
        <f>CE45+CE20</f>
        <v>160418.7</v>
      </c>
      <c r="CF46" s="541"/>
    </row>
    <row r="47" spans="45:79" s="22" customFormat="1" ht="12.75"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45:79" s="22" customFormat="1" ht="12.75"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45:79" s="22" customFormat="1" ht="12.75"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45:79" s="22" customFormat="1" ht="12.75"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</row>
    <row r="51" spans="45:79" s="22" customFormat="1" ht="12.75"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45:79" s="22" customFormat="1" ht="12.75"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45:79" s="22" customFormat="1" ht="12.75"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</row>
    <row r="54" spans="45:79" s="22" customFormat="1" ht="12.75"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</row>
    <row r="55" spans="45:79" s="22" customFormat="1" ht="12.75"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</row>
    <row r="56" spans="45:79" s="22" customFormat="1" ht="12.75"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45:79" s="22" customFormat="1" ht="12.75"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</row>
    <row r="58" spans="45:79" s="22" customFormat="1" ht="12.75"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</row>
    <row r="59" spans="45:79" s="22" customFormat="1" ht="12.75"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</row>
    <row r="60" spans="45:79" s="22" customFormat="1" ht="12.75"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</row>
    <row r="61" spans="45:79" s="22" customFormat="1" ht="12.75"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</row>
    <row r="62" spans="45:79" s="22" customFormat="1" ht="12.75"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</row>
    <row r="63" spans="45:79" s="22" customFormat="1" ht="12.75"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</row>
    <row r="64" spans="45:79" s="22" customFormat="1" ht="12.75"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45:79" s="22" customFormat="1" ht="12.75"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</row>
  </sheetData>
  <sheetProtection/>
  <mergeCells count="7">
    <mergeCell ref="CE3:CE4"/>
    <mergeCell ref="AS3:CA3"/>
    <mergeCell ref="A1:O1"/>
    <mergeCell ref="A3:A4"/>
    <mergeCell ref="B3:H3"/>
    <mergeCell ref="I3:AR3"/>
    <mergeCell ref="CB3:C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selection activeCell="C55" sqref="C55"/>
    </sheetView>
  </sheetViews>
  <sheetFormatPr defaultColWidth="9.140625" defaultRowHeight="12.75"/>
  <cols>
    <col min="1" max="2" width="9.140625" style="134" customWidth="1"/>
    <col min="3" max="3" width="20.140625" style="134" customWidth="1"/>
    <col min="4" max="4" width="0" style="134" hidden="1" customWidth="1"/>
    <col min="5" max="5" width="9.00390625" style="134" customWidth="1"/>
    <col min="6" max="6" width="7.7109375" style="134" hidden="1" customWidth="1"/>
    <col min="7" max="7" width="10.7109375" style="134" hidden="1" customWidth="1"/>
    <col min="8" max="8" width="10.28125" style="134" hidden="1" customWidth="1"/>
    <col min="9" max="9" width="12.57421875" style="134" customWidth="1"/>
    <col min="10" max="11" width="13.140625" style="134" customWidth="1"/>
    <col min="12" max="12" width="13.8515625" style="134" customWidth="1"/>
    <col min="13" max="13" width="13.57421875" style="134" customWidth="1"/>
    <col min="14" max="16384" width="9.140625" style="134" customWidth="1"/>
  </cols>
  <sheetData>
    <row r="1" spans="1:12" ht="15.75" customHeight="1">
      <c r="A1" s="669" t="s">
        <v>26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3" ht="33" customHeight="1" thickBot="1">
      <c r="A2" s="640" t="s">
        <v>198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</row>
    <row r="3" spans="1:13" ht="15" customHeight="1" thickBot="1">
      <c r="A3" s="670" t="s">
        <v>27</v>
      </c>
      <c r="B3" s="671"/>
      <c r="C3" s="672"/>
      <c r="D3" s="676" t="s">
        <v>28</v>
      </c>
      <c r="E3" s="136"/>
      <c r="F3" s="644" t="s">
        <v>96</v>
      </c>
      <c r="G3" s="678" t="s">
        <v>29</v>
      </c>
      <c r="H3" s="680" t="s">
        <v>52</v>
      </c>
      <c r="I3" s="685" t="s">
        <v>199</v>
      </c>
      <c r="J3" s="589" t="s">
        <v>210</v>
      </c>
      <c r="K3" s="590"/>
      <c r="L3" s="685" t="s">
        <v>211</v>
      </c>
      <c r="M3" s="696" t="s">
        <v>181</v>
      </c>
    </row>
    <row r="4" spans="1:13" ht="35.25" customHeight="1" thickBot="1">
      <c r="A4" s="673"/>
      <c r="B4" s="674"/>
      <c r="C4" s="675"/>
      <c r="D4" s="677"/>
      <c r="E4" s="137" t="s">
        <v>98</v>
      </c>
      <c r="F4" s="645"/>
      <c r="G4" s="679"/>
      <c r="H4" s="681"/>
      <c r="I4" s="681"/>
      <c r="J4" s="138" t="s">
        <v>99</v>
      </c>
      <c r="K4" s="175" t="s">
        <v>100</v>
      </c>
      <c r="L4" s="686"/>
      <c r="M4" s="697"/>
    </row>
    <row r="5" spans="1:13" s="189" customFormat="1" ht="22.5" customHeight="1">
      <c r="A5" s="687" t="s">
        <v>21</v>
      </c>
      <c r="B5" s="688"/>
      <c r="C5" s="689"/>
      <c r="D5" s="185"/>
      <c r="E5" s="185"/>
      <c r="F5" s="186" t="s">
        <v>97</v>
      </c>
      <c r="G5" s="187" t="e">
        <f>SUM(G7,G34,-#REF!)</f>
        <v>#REF!</v>
      </c>
      <c r="H5" s="188" t="e">
        <f>SUM(H7,H34,-#REF!)</f>
        <v>#REF!</v>
      </c>
      <c r="I5" s="188">
        <f>SUM(I7,I34,I42)</f>
        <v>11659.5</v>
      </c>
      <c r="J5" s="187">
        <f>SUM(J7+J34+J42-J33)</f>
        <v>146658.19999999998</v>
      </c>
      <c r="K5" s="187">
        <f>SUM(K7+K34+K42-K33)</f>
        <v>160418.7</v>
      </c>
      <c r="L5" s="328">
        <f>SUM(L7,L34,)</f>
        <v>2101.0000000000055</v>
      </c>
      <c r="M5" s="320"/>
    </row>
    <row r="6" spans="1:13" ht="4.5" customHeight="1">
      <c r="A6" s="682"/>
      <c r="B6" s="683"/>
      <c r="C6" s="684"/>
      <c r="D6" s="140"/>
      <c r="E6" s="140"/>
      <c r="F6" s="140"/>
      <c r="G6" s="139"/>
      <c r="H6" s="172"/>
      <c r="I6" s="172"/>
      <c r="J6" s="139"/>
      <c r="K6" s="176"/>
      <c r="L6" s="329"/>
      <c r="M6" s="321"/>
    </row>
    <row r="7" spans="1:13" ht="18.75" customHeight="1">
      <c r="A7" s="649" t="s">
        <v>30</v>
      </c>
      <c r="B7" s="650"/>
      <c r="C7" s="651"/>
      <c r="D7" s="190"/>
      <c r="E7" s="190"/>
      <c r="F7" s="190"/>
      <c r="G7" s="191">
        <f>SUM(G8:G32)</f>
        <v>500867.29999999993</v>
      </c>
      <c r="H7" s="192">
        <f>SUM(H8:H32)</f>
        <v>500867.29999999993</v>
      </c>
      <c r="I7" s="192">
        <f>SUM(I8:I33)</f>
        <v>1181.1999999999998</v>
      </c>
      <c r="J7" s="191">
        <f>SUM(J8:J33)</f>
        <v>147997.8</v>
      </c>
      <c r="K7" s="193">
        <f>SUM(K8:K33)</f>
        <v>153764.7</v>
      </c>
      <c r="L7" s="191">
        <f>SUM(L8:L33)</f>
        <v>4585.700000000004</v>
      </c>
      <c r="M7" s="321"/>
    </row>
    <row r="8" spans="1:13" ht="15.75" customHeight="1">
      <c r="A8" s="652" t="s">
        <v>31</v>
      </c>
      <c r="B8" s="653"/>
      <c r="C8" s="654"/>
      <c r="D8" s="141" t="s">
        <v>17</v>
      </c>
      <c r="E8" s="141" t="s">
        <v>3</v>
      </c>
      <c r="F8" s="141"/>
      <c r="G8" s="142">
        <v>276414.3</v>
      </c>
      <c r="H8" s="143">
        <v>276414.3</v>
      </c>
      <c r="I8" s="202"/>
      <c r="J8" s="142">
        <f>'2018dram'!B46</f>
        <v>39116.8</v>
      </c>
      <c r="K8" s="143">
        <f>'2018past'!I46</f>
        <v>38876.00000000001</v>
      </c>
      <c r="L8" s="330">
        <f>SUM(K8-J8-I8)</f>
        <v>-240.79999999999563</v>
      </c>
      <c r="M8" s="321" t="s">
        <v>16</v>
      </c>
    </row>
    <row r="9" spans="1:13" ht="15.75" customHeight="1">
      <c r="A9" s="658" t="s">
        <v>76</v>
      </c>
      <c r="B9" s="659"/>
      <c r="C9" s="660"/>
      <c r="D9" s="141" t="s">
        <v>18</v>
      </c>
      <c r="E9" s="141" t="s">
        <v>77</v>
      </c>
      <c r="F9" s="141"/>
      <c r="G9" s="142">
        <v>0</v>
      </c>
      <c r="H9" s="143">
        <v>0</v>
      </c>
      <c r="I9" s="202"/>
      <c r="J9" s="142">
        <f>'2018dram'!C46</f>
        <v>380</v>
      </c>
      <c r="K9" s="143">
        <f>'2018past'!J46</f>
        <v>380</v>
      </c>
      <c r="L9" s="330">
        <f aca="true" t="shared" si="0" ref="L9:L41">SUM(K9-J9-I9)</f>
        <v>0</v>
      </c>
      <c r="M9" s="321"/>
    </row>
    <row r="10" spans="1:13" ht="15.75" customHeight="1">
      <c r="A10" s="641" t="s">
        <v>64</v>
      </c>
      <c r="B10" s="642"/>
      <c r="C10" s="643"/>
      <c r="D10" s="141" t="s">
        <v>39</v>
      </c>
      <c r="E10" s="141" t="s">
        <v>4</v>
      </c>
      <c r="F10" s="141" t="s">
        <v>93</v>
      </c>
      <c r="G10" s="142">
        <v>35634.2</v>
      </c>
      <c r="H10" s="143">
        <v>35634.2</v>
      </c>
      <c r="I10" s="202">
        <f>'2018past'!B46</f>
        <v>441.8</v>
      </c>
      <c r="J10" s="142">
        <f>'2018dram'!D46</f>
        <v>1820.3</v>
      </c>
      <c r="K10" s="143">
        <f>'2018past'!K46</f>
        <v>2873.8</v>
      </c>
      <c r="L10" s="330">
        <f t="shared" si="0"/>
        <v>611.7000000000003</v>
      </c>
      <c r="M10" s="321"/>
    </row>
    <row r="11" spans="1:13" ht="15.75" customHeight="1">
      <c r="A11" s="641" t="s">
        <v>65</v>
      </c>
      <c r="B11" s="642"/>
      <c r="C11" s="643"/>
      <c r="D11" s="141"/>
      <c r="E11" s="141" t="s">
        <v>5</v>
      </c>
      <c r="F11" s="141" t="s">
        <v>94</v>
      </c>
      <c r="G11" s="142">
        <v>12642.7</v>
      </c>
      <c r="H11" s="143">
        <v>12642.7</v>
      </c>
      <c r="I11" s="202">
        <f>'2018past'!C46</f>
        <v>10.5</v>
      </c>
      <c r="J11" s="142">
        <f>'2018dram'!E46</f>
        <v>103</v>
      </c>
      <c r="K11" s="143">
        <f>'2018past'!L46</f>
        <v>170.1</v>
      </c>
      <c r="L11" s="330">
        <f t="shared" si="0"/>
        <v>56.599999999999994</v>
      </c>
      <c r="M11" s="321"/>
    </row>
    <row r="12" spans="1:13" ht="15.75" customHeight="1">
      <c r="A12" s="646" t="s">
        <v>37</v>
      </c>
      <c r="B12" s="647"/>
      <c r="C12" s="648"/>
      <c r="D12" s="141" t="s">
        <v>38</v>
      </c>
      <c r="E12" s="141" t="s">
        <v>6</v>
      </c>
      <c r="F12" s="141" t="s">
        <v>95</v>
      </c>
      <c r="G12" s="142">
        <v>5710</v>
      </c>
      <c r="H12" s="143">
        <v>5710</v>
      </c>
      <c r="I12" s="202">
        <f>'2018past'!D46</f>
        <v>112.3</v>
      </c>
      <c r="J12" s="142">
        <f>'2018dram'!F46</f>
        <v>555.1</v>
      </c>
      <c r="K12" s="143">
        <f>'2018past'!M46</f>
        <v>898.8000000000001</v>
      </c>
      <c r="L12" s="330">
        <f t="shared" si="0"/>
        <v>231.40000000000003</v>
      </c>
      <c r="M12" s="321"/>
    </row>
    <row r="13" spans="1:13" ht="15.75" customHeight="1">
      <c r="A13" s="655" t="s">
        <v>80</v>
      </c>
      <c r="B13" s="656"/>
      <c r="C13" s="657"/>
      <c r="D13" s="141"/>
      <c r="E13" s="141" t="s">
        <v>81</v>
      </c>
      <c r="F13" s="141"/>
      <c r="G13" s="142"/>
      <c r="H13" s="143"/>
      <c r="I13" s="202"/>
      <c r="J13" s="142">
        <f>'2018dram'!G46</f>
        <v>0</v>
      </c>
      <c r="K13" s="143">
        <f>'2018past'!N46</f>
        <v>0</v>
      </c>
      <c r="L13" s="330">
        <f t="shared" si="0"/>
        <v>0</v>
      </c>
      <c r="M13" s="321"/>
    </row>
    <row r="14" spans="1:13" ht="15.75" customHeight="1">
      <c r="A14" s="646" t="s">
        <v>177</v>
      </c>
      <c r="B14" s="647"/>
      <c r="C14" s="648"/>
      <c r="D14" s="141" t="s">
        <v>35</v>
      </c>
      <c r="E14" s="141" t="s">
        <v>174</v>
      </c>
      <c r="F14" s="141"/>
      <c r="G14" s="142">
        <v>4416.1</v>
      </c>
      <c r="H14" s="143">
        <v>4416.1</v>
      </c>
      <c r="I14" s="202"/>
      <c r="J14" s="142">
        <f>'2018dram'!H46</f>
        <v>22.8</v>
      </c>
      <c r="K14" s="143">
        <f>'2018past'!O46</f>
        <v>22.8</v>
      </c>
      <c r="L14" s="330">
        <f t="shared" si="0"/>
        <v>0</v>
      </c>
      <c r="M14" s="321"/>
    </row>
    <row r="15" spans="1:13" ht="15.75" customHeight="1">
      <c r="A15" s="655" t="s">
        <v>176</v>
      </c>
      <c r="B15" s="656"/>
      <c r="C15" s="657"/>
      <c r="D15" s="141"/>
      <c r="E15" s="141" t="s">
        <v>175</v>
      </c>
      <c r="F15" s="141"/>
      <c r="G15" s="142"/>
      <c r="H15" s="143"/>
      <c r="I15" s="202"/>
      <c r="J15" s="142">
        <f>'2018dram'!I46</f>
        <v>0</v>
      </c>
      <c r="K15" s="143">
        <f>'2018past'!P46</f>
        <v>0</v>
      </c>
      <c r="L15" s="330">
        <f t="shared" si="0"/>
        <v>0</v>
      </c>
      <c r="M15" s="321"/>
    </row>
    <row r="16" spans="1:13" ht="15.75" customHeight="1">
      <c r="A16" s="655" t="s">
        <v>66</v>
      </c>
      <c r="B16" s="656"/>
      <c r="C16" s="657"/>
      <c r="D16" s="141"/>
      <c r="E16" s="141" t="s">
        <v>8</v>
      </c>
      <c r="F16" s="141"/>
      <c r="G16" s="142">
        <v>331.2</v>
      </c>
      <c r="H16" s="143">
        <v>331.2</v>
      </c>
      <c r="I16" s="202"/>
      <c r="J16" s="142">
        <f>'2018dram'!J46</f>
        <v>130.4</v>
      </c>
      <c r="K16" s="143">
        <f>'2018past'!Q46</f>
        <v>152.4</v>
      </c>
      <c r="L16" s="330">
        <f t="shared" si="0"/>
        <v>22</v>
      </c>
      <c r="M16" s="321"/>
    </row>
    <row r="17" spans="1:13" ht="15.75" customHeight="1">
      <c r="A17" s="655" t="s">
        <v>67</v>
      </c>
      <c r="B17" s="656"/>
      <c r="C17" s="657"/>
      <c r="D17" s="141"/>
      <c r="E17" s="141" t="s">
        <v>9</v>
      </c>
      <c r="F17" s="141"/>
      <c r="G17" s="142">
        <v>2811.1</v>
      </c>
      <c r="H17" s="143">
        <v>2811.1</v>
      </c>
      <c r="I17" s="202"/>
      <c r="J17" s="142">
        <f>'2018dram'!K46</f>
        <v>0</v>
      </c>
      <c r="K17" s="143">
        <f>'2018past'!R46</f>
        <v>0</v>
      </c>
      <c r="L17" s="330">
        <f t="shared" si="0"/>
        <v>0</v>
      </c>
      <c r="M17" s="321"/>
    </row>
    <row r="18" spans="1:13" ht="15.75" customHeight="1">
      <c r="A18" s="646" t="s">
        <v>42</v>
      </c>
      <c r="B18" s="647"/>
      <c r="C18" s="648"/>
      <c r="D18" s="141" t="s">
        <v>43</v>
      </c>
      <c r="E18" s="141" t="s">
        <v>10</v>
      </c>
      <c r="F18" s="141"/>
      <c r="G18" s="142">
        <v>3000</v>
      </c>
      <c r="H18" s="143">
        <v>3400</v>
      </c>
      <c r="I18" s="202"/>
      <c r="J18" s="142">
        <f>'2018dram'!L46</f>
        <v>780</v>
      </c>
      <c r="K18" s="143">
        <f>'2018past'!S46</f>
        <v>780</v>
      </c>
      <c r="L18" s="330">
        <f t="shared" si="0"/>
        <v>0</v>
      </c>
      <c r="M18" s="321"/>
    </row>
    <row r="19" spans="1:13" ht="15.75" customHeight="1">
      <c r="A19" s="646" t="s">
        <v>167</v>
      </c>
      <c r="B19" s="647"/>
      <c r="C19" s="648"/>
      <c r="D19" s="141" t="s">
        <v>44</v>
      </c>
      <c r="E19" s="141" t="s">
        <v>11</v>
      </c>
      <c r="F19" s="141"/>
      <c r="G19" s="142">
        <v>10384.7</v>
      </c>
      <c r="H19" s="143">
        <v>10384.7</v>
      </c>
      <c r="I19" s="202"/>
      <c r="J19" s="142">
        <f>'2018dram'!M46</f>
        <v>509.6</v>
      </c>
      <c r="K19" s="143">
        <f>'2018past'!T46</f>
        <v>509.6</v>
      </c>
      <c r="L19" s="330">
        <f t="shared" si="0"/>
        <v>0</v>
      </c>
      <c r="M19" s="321"/>
    </row>
    <row r="20" spans="1:13" ht="15.75" customHeight="1">
      <c r="A20" s="655" t="s">
        <v>68</v>
      </c>
      <c r="B20" s="656"/>
      <c r="C20" s="657"/>
      <c r="D20" s="141"/>
      <c r="E20" s="141" t="s">
        <v>12</v>
      </c>
      <c r="F20" s="141"/>
      <c r="G20" s="142">
        <v>5663.8</v>
      </c>
      <c r="H20" s="143">
        <v>5663.8</v>
      </c>
      <c r="I20" s="202"/>
      <c r="J20" s="142">
        <f>'2018dram'!N46</f>
        <v>1036.2</v>
      </c>
      <c r="K20" s="143">
        <f>'2018past'!U46</f>
        <v>1036.2</v>
      </c>
      <c r="L20" s="330">
        <f t="shared" si="0"/>
        <v>0</v>
      </c>
      <c r="M20" s="321"/>
    </row>
    <row r="21" spans="1:13" ht="15.75" customHeight="1">
      <c r="A21" s="655" t="s">
        <v>69</v>
      </c>
      <c r="B21" s="656"/>
      <c r="C21" s="657"/>
      <c r="D21" s="141"/>
      <c r="E21" s="141" t="s">
        <v>13</v>
      </c>
      <c r="F21" s="141"/>
      <c r="G21" s="142">
        <v>1633.3</v>
      </c>
      <c r="H21" s="143">
        <v>1633.3</v>
      </c>
      <c r="I21" s="202">
        <f>'2018past'!E46</f>
        <v>-1071.6</v>
      </c>
      <c r="J21" s="142">
        <f>'2018dram'!O46</f>
        <v>0</v>
      </c>
      <c r="K21" s="143">
        <f>'2018past'!V46</f>
        <v>0</v>
      </c>
      <c r="L21" s="330">
        <f t="shared" si="0"/>
        <v>1071.6</v>
      </c>
      <c r="M21" s="321"/>
    </row>
    <row r="22" spans="1:13" ht="15.75" customHeight="1">
      <c r="A22" s="655" t="s">
        <v>70</v>
      </c>
      <c r="B22" s="656"/>
      <c r="C22" s="657"/>
      <c r="D22" s="141"/>
      <c r="E22" s="141" t="s">
        <v>14</v>
      </c>
      <c r="F22" s="141"/>
      <c r="G22" s="142">
        <v>250</v>
      </c>
      <c r="H22" s="143">
        <v>250</v>
      </c>
      <c r="I22" s="202"/>
      <c r="J22" s="142">
        <f>'2018dram'!P46</f>
        <v>146</v>
      </c>
      <c r="K22" s="143">
        <f>'2018past'!W46</f>
        <v>146</v>
      </c>
      <c r="L22" s="330">
        <f t="shared" si="0"/>
        <v>0</v>
      </c>
      <c r="M22" s="321"/>
    </row>
    <row r="23" spans="1:13" ht="15.75" customHeight="1">
      <c r="A23" s="652" t="s">
        <v>32</v>
      </c>
      <c r="B23" s="653"/>
      <c r="C23" s="654"/>
      <c r="D23" s="141" t="s">
        <v>33</v>
      </c>
      <c r="E23" s="141" t="s">
        <v>15</v>
      </c>
      <c r="F23" s="141"/>
      <c r="G23" s="142">
        <v>3950.3</v>
      </c>
      <c r="H23" s="143">
        <v>3950.3</v>
      </c>
      <c r="I23" s="202"/>
      <c r="J23" s="142">
        <f>'2018dram'!Q46</f>
        <v>976.2</v>
      </c>
      <c r="K23" s="143">
        <f>'2018past'!X46</f>
        <v>984.2</v>
      </c>
      <c r="L23" s="330">
        <f t="shared" si="0"/>
        <v>8</v>
      </c>
      <c r="M23" s="321"/>
    </row>
    <row r="24" spans="1:13" ht="15.75" customHeight="1">
      <c r="A24" s="658" t="s">
        <v>83</v>
      </c>
      <c r="B24" s="659"/>
      <c r="C24" s="660"/>
      <c r="D24" s="141"/>
      <c r="E24" s="141" t="s">
        <v>82</v>
      </c>
      <c r="F24" s="141"/>
      <c r="G24" s="142"/>
      <c r="H24" s="143"/>
      <c r="I24" s="202"/>
      <c r="J24" s="142">
        <f>'2018dram'!R46</f>
        <v>0</v>
      </c>
      <c r="K24" s="143">
        <f>'2018past'!Y46</f>
        <v>0</v>
      </c>
      <c r="L24" s="330">
        <f t="shared" si="0"/>
        <v>0</v>
      </c>
      <c r="M24" s="321"/>
    </row>
    <row r="25" spans="1:13" ht="15.75" customHeight="1">
      <c r="A25" s="646" t="s">
        <v>71</v>
      </c>
      <c r="B25" s="647"/>
      <c r="C25" s="648"/>
      <c r="D25" s="141" t="s">
        <v>36</v>
      </c>
      <c r="E25" s="141" t="s">
        <v>54</v>
      </c>
      <c r="F25" s="141"/>
      <c r="G25" s="142">
        <v>24681.2</v>
      </c>
      <c r="H25" s="143">
        <v>24681.2</v>
      </c>
      <c r="I25" s="202"/>
      <c r="J25" s="142">
        <f>'2018dram'!S46</f>
        <v>10727.1</v>
      </c>
      <c r="K25" s="143">
        <f>'2018past'!Z46</f>
        <v>10727.1</v>
      </c>
      <c r="L25" s="330">
        <f t="shared" si="0"/>
        <v>0</v>
      </c>
      <c r="M25" s="321"/>
    </row>
    <row r="26" spans="1:13" ht="15.75" customHeight="1">
      <c r="A26" s="655" t="s">
        <v>72</v>
      </c>
      <c r="B26" s="656"/>
      <c r="C26" s="657"/>
      <c r="D26" s="141"/>
      <c r="E26" s="141" t="s">
        <v>55</v>
      </c>
      <c r="F26" s="141"/>
      <c r="G26" s="142">
        <v>43982.3</v>
      </c>
      <c r="H26" s="143">
        <v>43982.3</v>
      </c>
      <c r="I26" s="202"/>
      <c r="J26" s="142">
        <f>'2018dram'!T46</f>
        <v>148.4</v>
      </c>
      <c r="K26" s="143">
        <f>'2018past'!AA46</f>
        <v>148.4</v>
      </c>
      <c r="L26" s="330">
        <f t="shared" si="0"/>
        <v>0</v>
      </c>
      <c r="M26" s="321"/>
    </row>
    <row r="27" spans="1:13" ht="15.75" customHeight="1">
      <c r="A27" s="655" t="s">
        <v>78</v>
      </c>
      <c r="B27" s="656"/>
      <c r="C27" s="657"/>
      <c r="D27" s="141"/>
      <c r="E27" s="141" t="s">
        <v>2</v>
      </c>
      <c r="F27" s="141"/>
      <c r="G27" s="142"/>
      <c r="H27" s="143"/>
      <c r="I27" s="202"/>
      <c r="J27" s="142">
        <f>'2018dram'!U46</f>
        <v>250</v>
      </c>
      <c r="K27" s="143">
        <f>'2018past'!AB46</f>
        <v>250</v>
      </c>
      <c r="L27" s="330">
        <f t="shared" si="0"/>
        <v>0</v>
      </c>
      <c r="M27" s="321"/>
    </row>
    <row r="28" spans="1:13" ht="15.75" customHeight="1">
      <c r="A28" s="655" t="s">
        <v>74</v>
      </c>
      <c r="B28" s="656"/>
      <c r="C28" s="657"/>
      <c r="D28" s="141"/>
      <c r="E28" s="141" t="s">
        <v>56</v>
      </c>
      <c r="F28" s="141"/>
      <c r="G28" s="142">
        <v>10000</v>
      </c>
      <c r="H28" s="143">
        <v>10000</v>
      </c>
      <c r="I28" s="202">
        <f>'2018past'!F46</f>
        <v>1688.1999999999998</v>
      </c>
      <c r="J28" s="142">
        <f>'2018dram'!V46</f>
        <v>89406.1</v>
      </c>
      <c r="K28" s="143">
        <f>'2018past'!AC46</f>
        <v>92999.1</v>
      </c>
      <c r="L28" s="330">
        <f t="shared" si="0"/>
        <v>1904.8000000000002</v>
      </c>
      <c r="M28" s="321"/>
    </row>
    <row r="29" spans="1:13" ht="15.75" customHeight="1">
      <c r="A29" s="655" t="s">
        <v>111</v>
      </c>
      <c r="B29" s="656"/>
      <c r="C29" s="657"/>
      <c r="D29" s="141"/>
      <c r="E29" s="141" t="s">
        <v>84</v>
      </c>
      <c r="F29" s="141"/>
      <c r="G29" s="142">
        <v>45571.3</v>
      </c>
      <c r="H29" s="143">
        <v>45171.3</v>
      </c>
      <c r="I29" s="202"/>
      <c r="J29" s="142">
        <f>'2018dram'!W46</f>
        <v>662.6</v>
      </c>
      <c r="K29" s="143">
        <f>'2018past'!AD46</f>
        <v>662.6</v>
      </c>
      <c r="L29" s="330">
        <f t="shared" si="0"/>
        <v>0</v>
      </c>
      <c r="M29" s="321"/>
    </row>
    <row r="30" spans="1:13" ht="15.75" customHeight="1">
      <c r="A30" s="655" t="s">
        <v>75</v>
      </c>
      <c r="B30" s="656"/>
      <c r="C30" s="657"/>
      <c r="D30" s="141"/>
      <c r="E30" s="141" t="s">
        <v>57</v>
      </c>
      <c r="F30" s="141"/>
      <c r="G30" s="142">
        <v>13290.8</v>
      </c>
      <c r="H30" s="143">
        <v>13290.8</v>
      </c>
      <c r="I30" s="202"/>
      <c r="J30" s="142">
        <f>'2018dram'!X46</f>
        <v>784.4</v>
      </c>
      <c r="K30" s="143">
        <f>'2018past'!AE46</f>
        <v>784.4</v>
      </c>
      <c r="L30" s="330">
        <f t="shared" si="0"/>
        <v>0</v>
      </c>
      <c r="M30" s="321"/>
    </row>
    <row r="31" spans="1:13" ht="15.75" customHeight="1">
      <c r="A31" s="655" t="s">
        <v>168</v>
      </c>
      <c r="B31" s="656"/>
      <c r="C31" s="657"/>
      <c r="D31" s="141"/>
      <c r="E31" s="141" t="s">
        <v>58</v>
      </c>
      <c r="F31" s="141"/>
      <c r="G31" s="142"/>
      <c r="H31" s="143"/>
      <c r="I31" s="202"/>
      <c r="J31" s="142">
        <f>'2018dram'!Y46</f>
        <v>400</v>
      </c>
      <c r="K31" s="143">
        <f>'2018past'!AF46</f>
        <v>400</v>
      </c>
      <c r="L31" s="330">
        <f t="shared" si="0"/>
        <v>0</v>
      </c>
      <c r="M31" s="321"/>
    </row>
    <row r="32" spans="1:13" ht="15.75" customHeight="1">
      <c r="A32" s="646" t="s">
        <v>40</v>
      </c>
      <c r="B32" s="647"/>
      <c r="C32" s="648"/>
      <c r="D32" s="141" t="s">
        <v>41</v>
      </c>
      <c r="E32" s="141" t="s">
        <v>63</v>
      </c>
      <c r="F32" s="141"/>
      <c r="G32" s="142">
        <v>500</v>
      </c>
      <c r="H32" s="143">
        <v>500</v>
      </c>
      <c r="I32" s="202"/>
      <c r="J32" s="142">
        <f>'2018dram'!Z46</f>
        <v>42.8</v>
      </c>
      <c r="K32" s="143">
        <f>'2018past'!AG46</f>
        <v>963.1999999999999</v>
      </c>
      <c r="L32" s="330">
        <f t="shared" si="0"/>
        <v>920.4</v>
      </c>
      <c r="M32" s="321"/>
    </row>
    <row r="33" spans="1:13" ht="19.5" customHeight="1" thickBot="1">
      <c r="A33" s="698" t="s">
        <v>45</v>
      </c>
      <c r="B33" s="699"/>
      <c r="C33" s="700"/>
      <c r="D33" s="147" t="s">
        <v>46</v>
      </c>
      <c r="E33" s="332">
        <v>4891</v>
      </c>
      <c r="F33" s="178"/>
      <c r="G33" s="178"/>
      <c r="H33" s="178"/>
      <c r="I33" s="173"/>
      <c r="J33" s="153">
        <f>'2018dram'!AA46</f>
        <v>0</v>
      </c>
      <c r="K33" s="177">
        <f>'2018past'!AH46</f>
        <v>0</v>
      </c>
      <c r="L33" s="330">
        <f t="shared" si="0"/>
        <v>0</v>
      </c>
      <c r="M33" s="322"/>
    </row>
    <row r="34" spans="1:13" s="184" customFormat="1" ht="18" customHeight="1" thickBot="1">
      <c r="A34" s="693" t="s">
        <v>47</v>
      </c>
      <c r="B34" s="694"/>
      <c r="C34" s="695"/>
      <c r="D34" s="194" t="s">
        <v>16</v>
      </c>
      <c r="E34" s="194"/>
      <c r="F34" s="194"/>
      <c r="G34" s="195">
        <f>SUM(G35:G44)</f>
        <v>49696.399999999994</v>
      </c>
      <c r="H34" s="196">
        <f>SUM(H35:H44)</f>
        <v>49696.399999999994</v>
      </c>
      <c r="I34" s="196">
        <f>SUM(I35:I41)</f>
        <v>10478.3</v>
      </c>
      <c r="J34" s="195">
        <f>SUM(J35:J41)</f>
        <v>2590</v>
      </c>
      <c r="K34" s="197">
        <f>SUM(K35:K41)</f>
        <v>10583.6</v>
      </c>
      <c r="L34" s="195">
        <f>SUM(L35:L41)</f>
        <v>-2484.699999999999</v>
      </c>
      <c r="M34" s="323"/>
    </row>
    <row r="35" spans="1:13" ht="15" customHeight="1">
      <c r="A35" s="655" t="s">
        <v>172</v>
      </c>
      <c r="B35" s="656"/>
      <c r="C35" s="657"/>
      <c r="D35" s="141"/>
      <c r="E35" s="141" t="s">
        <v>171</v>
      </c>
      <c r="F35" s="141"/>
      <c r="G35" s="142">
        <v>82596.4</v>
      </c>
      <c r="H35" s="143">
        <v>82596.4</v>
      </c>
      <c r="I35" s="202"/>
      <c r="J35" s="142">
        <f>'2018dram'!AC46</f>
        <v>0</v>
      </c>
      <c r="K35" s="143">
        <f>'2018past'!AJ46</f>
        <v>0</v>
      </c>
      <c r="L35" s="330">
        <f t="shared" si="0"/>
        <v>0</v>
      </c>
      <c r="M35" s="324"/>
    </row>
    <row r="36" spans="1:13" ht="22.5" customHeight="1">
      <c r="A36" s="655" t="s">
        <v>179</v>
      </c>
      <c r="B36" s="656"/>
      <c r="C36" s="657"/>
      <c r="D36" s="141" t="s">
        <v>50</v>
      </c>
      <c r="E36" s="141" t="s">
        <v>85</v>
      </c>
      <c r="F36" s="141"/>
      <c r="G36" s="142">
        <v>5100</v>
      </c>
      <c r="H36" s="143">
        <v>5100</v>
      </c>
      <c r="I36" s="202">
        <f>'2018past'!G46</f>
        <v>10478.3</v>
      </c>
      <c r="J36" s="142">
        <f>'2018dram'!AD46</f>
        <v>185</v>
      </c>
      <c r="K36" s="143">
        <f>'2018past'!AK46</f>
        <v>8108.6</v>
      </c>
      <c r="L36" s="330">
        <f t="shared" si="0"/>
        <v>-2554.699999999999</v>
      </c>
      <c r="M36" s="325"/>
    </row>
    <row r="37" spans="1:13" ht="22.5" customHeight="1">
      <c r="A37" s="655" t="s">
        <v>173</v>
      </c>
      <c r="B37" s="656"/>
      <c r="C37" s="657"/>
      <c r="D37" s="141"/>
      <c r="E37" s="141" t="s">
        <v>59</v>
      </c>
      <c r="F37" s="141"/>
      <c r="G37" s="142"/>
      <c r="H37" s="143"/>
      <c r="I37" s="202"/>
      <c r="J37" s="142">
        <f>'2018dram'!AE46</f>
        <v>0</v>
      </c>
      <c r="K37" s="143">
        <f>'2018past'!AL46</f>
        <v>0</v>
      </c>
      <c r="L37" s="330">
        <f t="shared" si="0"/>
        <v>0</v>
      </c>
      <c r="M37" s="325"/>
    </row>
    <row r="38" spans="1:13" ht="15.75" customHeight="1">
      <c r="A38" s="144" t="s">
        <v>113</v>
      </c>
      <c r="B38" s="145"/>
      <c r="C38" s="145"/>
      <c r="D38" s="150"/>
      <c r="E38" s="141" t="s">
        <v>60</v>
      </c>
      <c r="F38" s="141"/>
      <c r="G38" s="142"/>
      <c r="H38" s="143"/>
      <c r="I38" s="202"/>
      <c r="J38" s="142">
        <f>'2018dram'!AF46</f>
        <v>0</v>
      </c>
      <c r="K38" s="143">
        <f>'2018past'!AM46</f>
        <v>0</v>
      </c>
      <c r="L38" s="330">
        <f t="shared" si="0"/>
        <v>0</v>
      </c>
      <c r="M38" s="321"/>
    </row>
    <row r="39" spans="1:13" ht="12.75" customHeight="1">
      <c r="A39" s="144" t="s">
        <v>92</v>
      </c>
      <c r="B39" s="145"/>
      <c r="C39" s="145"/>
      <c r="D39" s="146"/>
      <c r="E39" s="141" t="s">
        <v>53</v>
      </c>
      <c r="F39" s="141"/>
      <c r="G39" s="142"/>
      <c r="H39" s="143"/>
      <c r="I39" s="202"/>
      <c r="J39" s="142">
        <f>'2018dram'!AG46</f>
        <v>1475</v>
      </c>
      <c r="K39" s="143">
        <f>'2018past'!AN46</f>
        <v>1475</v>
      </c>
      <c r="L39" s="330">
        <f t="shared" si="0"/>
        <v>0</v>
      </c>
      <c r="M39" s="321"/>
    </row>
    <row r="40" spans="1:13" ht="15.75" customHeight="1">
      <c r="A40" s="655" t="s">
        <v>90</v>
      </c>
      <c r="B40" s="656"/>
      <c r="C40" s="657"/>
      <c r="D40" s="151"/>
      <c r="E40" s="152" t="s">
        <v>61</v>
      </c>
      <c r="F40" s="141"/>
      <c r="G40" s="142"/>
      <c r="H40" s="143"/>
      <c r="I40" s="202"/>
      <c r="J40" s="142">
        <f>'2018dram'!AH46</f>
        <v>0</v>
      </c>
      <c r="K40" s="143">
        <f>'2018past'!AO46</f>
        <v>0</v>
      </c>
      <c r="L40" s="330">
        <f t="shared" si="0"/>
        <v>0</v>
      </c>
      <c r="M40" s="321"/>
    </row>
    <row r="41" spans="1:13" ht="15.75" customHeight="1" thickBot="1">
      <c r="A41" s="666" t="s">
        <v>48</v>
      </c>
      <c r="B41" s="667"/>
      <c r="C41" s="668"/>
      <c r="D41" s="166" t="s">
        <v>49</v>
      </c>
      <c r="E41" s="166" t="s">
        <v>62</v>
      </c>
      <c r="F41" s="167"/>
      <c r="G41" s="168">
        <v>-38000</v>
      </c>
      <c r="H41" s="169">
        <v>-38000</v>
      </c>
      <c r="I41" s="203"/>
      <c r="J41" s="168">
        <f>'2018dram'!AI46</f>
        <v>930</v>
      </c>
      <c r="K41" s="169">
        <f>'2018past'!AP46</f>
        <v>1000</v>
      </c>
      <c r="L41" s="330">
        <f t="shared" si="0"/>
        <v>70</v>
      </c>
      <c r="M41" s="322"/>
    </row>
    <row r="42" spans="1:13" s="184" customFormat="1" ht="23.25" customHeight="1" thickBot="1">
      <c r="A42" s="663" t="s">
        <v>108</v>
      </c>
      <c r="B42" s="664"/>
      <c r="C42" s="665"/>
      <c r="D42" s="198"/>
      <c r="E42" s="199"/>
      <c r="F42" s="194"/>
      <c r="G42" s="200"/>
      <c r="H42" s="201"/>
      <c r="I42" s="196">
        <f>I43++I44</f>
        <v>0</v>
      </c>
      <c r="J42" s="195">
        <f>J43++J44</f>
        <v>-3929.6</v>
      </c>
      <c r="K42" s="197">
        <f>K43++K44</f>
        <v>-3929.6</v>
      </c>
      <c r="L42" s="195">
        <f>L43++L44</f>
        <v>0</v>
      </c>
      <c r="M42" s="323"/>
    </row>
    <row r="43" spans="1:13" ht="23.25" customHeight="1" thickBot="1">
      <c r="A43" s="690" t="s">
        <v>200</v>
      </c>
      <c r="B43" s="691"/>
      <c r="C43" s="692"/>
      <c r="D43" s="170"/>
      <c r="E43" s="171" t="s">
        <v>109</v>
      </c>
      <c r="F43" s="140"/>
      <c r="G43" s="148"/>
      <c r="H43" s="149"/>
      <c r="I43" s="204"/>
      <c r="J43" s="148">
        <f>'2018dram'!AL46</f>
        <v>0</v>
      </c>
      <c r="K43" s="149">
        <f>'2018past'!CB46</f>
        <v>0</v>
      </c>
      <c r="L43" s="148">
        <f>SUM(K43,-J43)</f>
        <v>0</v>
      </c>
      <c r="M43" s="326"/>
    </row>
    <row r="44" spans="1:13" ht="23.25" customHeight="1" thickBot="1">
      <c r="A44" s="661" t="s">
        <v>201</v>
      </c>
      <c r="B44" s="662"/>
      <c r="C44" s="662"/>
      <c r="D44" s="179"/>
      <c r="E44" s="179" t="s">
        <v>110</v>
      </c>
      <c r="F44" s="179"/>
      <c r="G44" s="180"/>
      <c r="H44" s="181"/>
      <c r="I44" s="174">
        <f>'2018dram'!AL46</f>
        <v>0</v>
      </c>
      <c r="J44" s="174">
        <f>'2018dram'!AM46</f>
        <v>-3929.6</v>
      </c>
      <c r="K44" s="182">
        <f>'2018past'!CC46</f>
        <v>-3929.6</v>
      </c>
      <c r="L44" s="331">
        <f>SUM(K44,-J44)</f>
        <v>0</v>
      </c>
      <c r="M44" s="327"/>
    </row>
  </sheetData>
  <sheetProtection/>
  <mergeCells count="49">
    <mergeCell ref="A35:C35"/>
    <mergeCell ref="A33:C33"/>
    <mergeCell ref="A32:C32"/>
    <mergeCell ref="A21:C21"/>
    <mergeCell ref="A30:C30"/>
    <mergeCell ref="A43:C43"/>
    <mergeCell ref="A36:C36"/>
    <mergeCell ref="A34:C34"/>
    <mergeCell ref="A28:C28"/>
    <mergeCell ref="M3:M4"/>
    <mergeCell ref="A31:C31"/>
    <mergeCell ref="A37:C37"/>
    <mergeCell ref="A40:C40"/>
    <mergeCell ref="A15:C15"/>
    <mergeCell ref="A17:C17"/>
    <mergeCell ref="A9:C9"/>
    <mergeCell ref="A23:C23"/>
    <mergeCell ref="A20:C20"/>
    <mergeCell ref="A13:C13"/>
    <mergeCell ref="A18:C18"/>
    <mergeCell ref="A16:C16"/>
    <mergeCell ref="A1:L1"/>
    <mergeCell ref="A3:C4"/>
    <mergeCell ref="D3:D4"/>
    <mergeCell ref="G3:G4"/>
    <mergeCell ref="H3:H4"/>
    <mergeCell ref="A6:C6"/>
    <mergeCell ref="J3:K3"/>
    <mergeCell ref="I3:I4"/>
    <mergeCell ref="L3:L4"/>
    <mergeCell ref="A5:C5"/>
    <mergeCell ref="A27:C27"/>
    <mergeCell ref="A19:C19"/>
    <mergeCell ref="A22:C22"/>
    <mergeCell ref="A24:C24"/>
    <mergeCell ref="A25:C25"/>
    <mergeCell ref="A44:C44"/>
    <mergeCell ref="A42:C42"/>
    <mergeCell ref="A41:C41"/>
    <mergeCell ref="A26:C26"/>
    <mergeCell ref="A29:C29"/>
    <mergeCell ref="A2:M2"/>
    <mergeCell ref="A11:C11"/>
    <mergeCell ref="A10:C10"/>
    <mergeCell ref="F3:F4"/>
    <mergeCell ref="A14:C14"/>
    <mergeCell ref="A7:C7"/>
    <mergeCell ref="A12:C12"/>
    <mergeCell ref="A8:C8"/>
  </mergeCells>
  <printOptions/>
  <pageMargins left="0.2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ARMAVIRI QAXAQAPETARAN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&amp; ARNAK</dc:creator>
  <cp:keywords/>
  <dc:description/>
  <cp:lastModifiedBy>ANNA</cp:lastModifiedBy>
  <cp:lastPrinted>2018-04-17T11:18:39Z</cp:lastPrinted>
  <dcterms:created xsi:type="dcterms:W3CDTF">2008-01-11T07:05:18Z</dcterms:created>
  <dcterms:modified xsi:type="dcterms:W3CDTF">2018-07-03T04:56:31Z</dcterms:modified>
  <cp:category/>
  <cp:version/>
  <cp:contentType/>
  <cp:contentStatus/>
</cp:coreProperties>
</file>