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0245" windowHeight="5700" tabRatio="611" activeTab="5"/>
  </bookViews>
  <sheets>
    <sheet name="hoaki dram18" sheetId="1" r:id="rId1"/>
    <sheet name="hoaki past18" sheetId="2" r:id="rId2"/>
    <sheet name="HOAK,AMPOP" sheetId="3" r:id="rId3"/>
    <sheet name="2018dram" sheetId="4" r:id="rId4"/>
    <sheet name="2018past" sheetId="5" r:id="rId5"/>
    <sheet name="AMPOP" sheetId="6" r:id="rId6"/>
    <sheet name="mutqer" sheetId="7" r:id="rId7"/>
    <sheet name="partqer" sheetId="8" r:id="rId8"/>
    <sheet name="դտ ՀՈԱԿ" sheetId="9" r:id="rId9"/>
  </sheets>
  <definedNames>
    <definedName name="_xlnm.Print_Area" localSheetId="3">'2018dram'!$A$2:$AR$46</definedName>
    <definedName name="_xlnm.Print_Area" localSheetId="4">'2018past'!$A$1:$CF$46</definedName>
    <definedName name="_xlnm.Print_Area" localSheetId="5">'AMPOP'!$A$1:$M$44</definedName>
    <definedName name="_xlnm.Print_Area" localSheetId="1">'hoaki past18'!$A$1:$BJ$35</definedName>
    <definedName name="_xlnm.Print_Area" localSheetId="7">'partqer'!$A$1:$S$39</definedName>
  </definedNames>
  <calcPr fullCalcOnLoad="1"/>
</workbook>
</file>

<file path=xl/sharedStrings.xml><?xml version="1.0" encoding="utf-8"?>
<sst xmlns="http://schemas.openxmlformats.org/spreadsheetml/2006/main" count="589" uniqueCount="320">
  <si>
    <t>Ð³Ù³ÛÝ.³ÛÉ Í³é³Û.1-3-3</t>
  </si>
  <si>
    <t>Ð³Ù³ÛÝ.³ÛÉ Í³é³Û.1-6-1</t>
  </si>
  <si>
    <t>4269</t>
  </si>
  <si>
    <t>4111</t>
  </si>
  <si>
    <t>4212</t>
  </si>
  <si>
    <t>4213</t>
  </si>
  <si>
    <t>4214</t>
  </si>
  <si>
    <t>4221-4222</t>
  </si>
  <si>
    <t>4232</t>
  </si>
  <si>
    <t>4234</t>
  </si>
  <si>
    <t>4237</t>
  </si>
  <si>
    <t>4239</t>
  </si>
  <si>
    <t>4241</t>
  </si>
  <si>
    <t>4251</t>
  </si>
  <si>
    <t>4252</t>
  </si>
  <si>
    <t xml:space="preserve"> 4261</t>
  </si>
  <si>
    <t xml:space="preserve"> </t>
  </si>
  <si>
    <t>0010</t>
  </si>
  <si>
    <t>1500</t>
  </si>
  <si>
    <t>ÀÝ¹.üáÝ¹³ÛÇÝ µÛáõç»</t>
  </si>
  <si>
    <t>ÀÜ¸²ØºÜÀ</t>
  </si>
  <si>
    <t>²ñí»ëïÇ ¹åñáó</t>
  </si>
  <si>
    <t>î º Ô º Î ² Ü ø</t>
  </si>
  <si>
    <t>²Ýí³ÝáõÙÁ</t>
  </si>
  <si>
    <t>Ñá¹í³Í N</t>
  </si>
  <si>
    <t>Ð³ëï³ïí³Í ¿ µÛáõç»áí</t>
  </si>
  <si>
    <t>ÀÝÃ³óÇÏ Í³Ëë»ñ</t>
  </si>
  <si>
    <t>²ßË³ï³í³ñÓ</t>
  </si>
  <si>
    <t>¶ñ³ë»ÝÛ.³åñ. ¨ ÝÛáõÃ»ñ</t>
  </si>
  <si>
    <t>2100</t>
  </si>
  <si>
    <t>·áñÍáõÕáõÙ ¨ Í³é. áõÕ¨áñ.</t>
  </si>
  <si>
    <t>2650-2700</t>
  </si>
  <si>
    <t>2800-2900</t>
  </si>
  <si>
    <t>Ï³åÇ Í³é³ÛáõÃÛáõÝ</t>
  </si>
  <si>
    <t>3000-3400</t>
  </si>
  <si>
    <t>3500-3550</t>
  </si>
  <si>
    <t xml:space="preserve">Ñ³ñÏ»ñ,ïáõñù»ñ ¨ ³ÛÉ </t>
  </si>
  <si>
    <t>4300</t>
  </si>
  <si>
    <t>Ý»ñÏ³Û³óáõóã³Ï³Ý Í³Ëë»ñ</t>
  </si>
  <si>
    <t>4970</t>
  </si>
  <si>
    <t>5600</t>
  </si>
  <si>
    <t>å³Ñáõëï³ÛÇÝ ýáÝ¹</t>
  </si>
  <si>
    <t>X</t>
  </si>
  <si>
    <t>Î³åÇï³É  Í³Ëë»ñ</t>
  </si>
  <si>
    <t>Ý³Ë³·Í³Ñ»ï³Ë. Í³Ëë»ñ</t>
  </si>
  <si>
    <t>6400</t>
  </si>
  <si>
    <t>6800</t>
  </si>
  <si>
    <t>ß³ËÙ³ïÇ ¹åñáó</t>
  </si>
  <si>
    <t xml:space="preserve">×ßïí³Í µÛáõç»      </t>
  </si>
  <si>
    <t>5122</t>
  </si>
  <si>
    <t>4264</t>
  </si>
  <si>
    <t>4267</t>
  </si>
  <si>
    <t>4511</t>
  </si>
  <si>
    <t>4729</t>
  </si>
  <si>
    <t>4819</t>
  </si>
  <si>
    <t>5113</t>
  </si>
  <si>
    <t>5121</t>
  </si>
  <si>
    <t>5129</t>
  </si>
  <si>
    <t>5134</t>
  </si>
  <si>
    <t>4823</t>
  </si>
  <si>
    <t>¾Ý»ñ·»ïÇÏ Í³é³ÛáõÃÛáõÝ</t>
  </si>
  <si>
    <t xml:space="preserve">ÎáÙáõÝ³É Í³é³ÛáõÃÛáõÝ </t>
  </si>
  <si>
    <t>Ñ³Ù³Ï³ñ·ã³ÛÇÝ  Í³é³ÛáõÃÛáõÝ</t>
  </si>
  <si>
    <t>ï»Õ»Ï³ïí³Ï³Ý Í³é³ÛáõÃÛáõÝ</t>
  </si>
  <si>
    <t>Ù³ëÝ³·Çï³Ï³Ý Í³é³ÛáõÃÛáõÝÝ»ñ</t>
  </si>
  <si>
    <t>ß»Ýù»ñÇ ÁÝÃ³óÇÏ Ýáñá·áõÙ ¨ å³Ñå.</t>
  </si>
  <si>
    <t>Ù»ù.ë³ñù.ÁÝÃ³óÇÏ Ýáñá·áõÙ</t>
  </si>
  <si>
    <t>ïñ³Ýëåáñï³ÛÇÝ ÝÛáõÃ»ñ</t>
  </si>
  <si>
    <t>Ï»Ýó³Õ³ÛÇÝ¨Ñ³Ýñ³ÛÇÝ ëÝÝ¹Ç ÝÛáõÃ»ñ</t>
  </si>
  <si>
    <t>³ÛÉ Ù»ù»Ý³Ý»ñ ¨ ë³ñù³íáñáõÙÝ»ñ</t>
  </si>
  <si>
    <t>ëáõµëÇ¹Ç³</t>
  </si>
  <si>
    <t>ëáóÇ³É³Ï³Ý û·ÝáõÃÛáõÝ</t>
  </si>
  <si>
    <t>å³ñ·¨³ïñáõÙ</t>
  </si>
  <si>
    <t>4112</t>
  </si>
  <si>
    <t>Ñ³ïáõÏ Ýå³ï³Ï.³ÛÉ ÝÛáõÃ»ñ</t>
  </si>
  <si>
    <t>³éáÕç³å³Ñ. ¨ É³µáñ. ÝÛáõÃ»ñ</t>
  </si>
  <si>
    <t>³å³Ñáí³·ñáõÃÛáõÝ</t>
  </si>
  <si>
    <t>4215</t>
  </si>
  <si>
    <t>4262</t>
  </si>
  <si>
    <t xml:space="preserve">¶ÛáõÕ³ïÝï»ë³Ï³Ý  ÝÛáõÃ»ñ   </t>
  </si>
  <si>
    <t>4637</t>
  </si>
  <si>
    <t>5112</t>
  </si>
  <si>
    <t>´³ñ»Ï³ñ·áõÙ ïÝûñ.6-6-1</t>
  </si>
  <si>
    <t>å»ï.ÏáÕÙ. å³ïíÇñ³Ïí³Í</t>
  </si>
  <si>
    <t>êáõµëÇ¹Ç³ Ñ³Ù³ÛÝùÇ µÛáõç»Çó</t>
  </si>
  <si>
    <t>ïñ³Ýëåáñï³ÛÇÝ  ë³ñù³íáñáõÙ</t>
  </si>
  <si>
    <t xml:space="preserve">  </t>
  </si>
  <si>
    <t>í³ñã³Ï³Ý  ë³ñù³íáñáõÙÝ»ñ</t>
  </si>
  <si>
    <t>3014.9</t>
  </si>
  <si>
    <t>54.6</t>
  </si>
  <si>
    <t>29.4</t>
  </si>
  <si>
    <t>¹»µիտորական պարտք Ñ³½.¹ñ³Ù01.01.09</t>
  </si>
  <si>
    <t>3098.9</t>
  </si>
  <si>
    <t>Ðá¹í³ÍÝ»ñ</t>
  </si>
  <si>
    <t>¹ñ³Ù³ñÏ Õ³ÛÇÝ Í³Ëë</t>
  </si>
  <si>
    <t>÷³ëï³óÇ         Í³Ëë</t>
  </si>
  <si>
    <t>4266</t>
  </si>
  <si>
    <t>ÁÙµß³Ù³ñïÇ ¹åñáó</t>
  </si>
  <si>
    <t>´³ñ»Ï³. ïÝûñ. çñ³Ù.6-3-1</t>
  </si>
  <si>
    <t>Ï³Ý³ã³å³ïáõÙ  5-6-1</t>
  </si>
  <si>
    <t>²Õµ³Ñ³ÝáõÙ   5-1-1</t>
  </si>
  <si>
    <t>Éáõë³íáñáõÃÛáõÝ  6-4-1</t>
  </si>
  <si>
    <t>Ö³Ý³å³ñÑ.տրանս  4-5,1</t>
  </si>
  <si>
    <t>Ընդամենը</t>
  </si>
  <si>
    <t>8111</t>
  </si>
  <si>
    <t>8411</t>
  </si>
  <si>
    <t>դրամաշնորհ</t>
  </si>
  <si>
    <t>Քաղաքապետարան.6-1-1</t>
  </si>
  <si>
    <t>տրանսպորտային սարքավորում.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</si>
  <si>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</si>
  <si>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Լուսավորություն</t>
  </si>
  <si>
    <t>Ընդամենը եկամուտներ</t>
  </si>
  <si>
    <t>այլ մուտքեր</t>
  </si>
  <si>
    <t>սուբսիդիա</t>
  </si>
  <si>
    <t xml:space="preserve">4212  </t>
  </si>
  <si>
    <t>Ընդամենը  դտ պարտքեր ծախս. Գծով</t>
  </si>
  <si>
    <t>սուբսիդիա դտ պարտքեր եկ. Գծով</t>
  </si>
  <si>
    <t>հաշվետու ժամանակաշրջանի ծախսեր</t>
  </si>
  <si>
    <t>Ընդամենը  ՀՈԱԿ</t>
  </si>
  <si>
    <t>ø³Õ³ù³å»ï³ñ³Ý  1-1-1</t>
  </si>
  <si>
    <t xml:space="preserve"> ¼³·ë  1-3-1</t>
  </si>
  <si>
    <t xml:space="preserve"> ÙÇçáó³éáõÙ 8-2-4</t>
  </si>
  <si>
    <t>Ընդամենը   բյուջետային հիմն</t>
  </si>
  <si>
    <t>ÀÝ¹.ընթացիկ ծախսեր</t>
  </si>
  <si>
    <t>ÀÜ¸²ØºÜÀ  ծախսեր</t>
  </si>
  <si>
    <t>êáó. ³å³ÑáíáõÃÛáõÝ  10-7-1</t>
  </si>
  <si>
    <t>Երաժշտական ¹åñáó</t>
  </si>
  <si>
    <t xml:space="preserve"> Ù³ñ½³¹åñáó</t>
  </si>
  <si>
    <t>ÂÇí  5 Ùանկապարտեզ</t>
  </si>
  <si>
    <t>ÂÇí  4 Ùանկապարտեզ</t>
  </si>
  <si>
    <t>ÂÇí  3 Ùանկապարտեզ</t>
  </si>
  <si>
    <t>ÂÇí  2 Ùանկապարտեզ</t>
  </si>
  <si>
    <t>ÂÇí  1 Ùանկապարտեզ</t>
  </si>
  <si>
    <t>ÂÇí  6 Ùանկապարտեզ</t>
  </si>
  <si>
    <t>ÂÇí  7 Ùանկապարտեզ</t>
  </si>
  <si>
    <t>ÂÇí  8 Ùանկապարտեզ</t>
  </si>
  <si>
    <t>ÂÇí  9 Ùանկապարտեզ</t>
  </si>
  <si>
    <t>ÂÇí  10 Ùանկապարտեզ</t>
  </si>
  <si>
    <t>ÂÇí  11 Ùանկապարտեզ</t>
  </si>
  <si>
    <t>ÂÇí  12 Ùանկապարտեզ</t>
  </si>
  <si>
    <t>Ընդամենը ՀՈԱԿ-ներ</t>
  </si>
  <si>
    <t>ÀÝ¹³Ù»ÝÁ  mank 9-1-1</t>
  </si>
  <si>
    <t>ÀÝ¹³Ù»ÝÁ  արտադպ.9-5-1</t>
  </si>
  <si>
    <t>Ùßակույթի  ïáõÝ  8-2-3</t>
  </si>
  <si>
    <t>¼µáë³Û·Ç  8-2-4</t>
  </si>
  <si>
    <t>¶ñ³¹³ñ³Ý  8-2-1</t>
  </si>
  <si>
    <t>æñ³Ù³ï³Ï³ñ³ñ  4-2-4</t>
  </si>
  <si>
    <t>Լուսավորություն  6-4-1</t>
  </si>
  <si>
    <t>գյուղատնտեսական ապրանքներ</t>
  </si>
  <si>
    <t>¹ñ³Ù. ÙÇçáóÝ»ñÇ ÙÝ³óáñ¹Á</t>
  </si>
  <si>
    <t>ÁÝ¹Ñ³Ýáõñ µÝáõÛÃÇ ³ÛÉ Í³Ëë»ñ</t>
  </si>
  <si>
    <t>նվիրատվություն</t>
  </si>
  <si>
    <t>ä³Ñáõëï³ÛÇÝ ÙÇçáóÝ»ñ 11 - 1 -2</t>
  </si>
  <si>
    <t>àչ ֆին.  Ակտ.իր. մուտքեր 4-9-1</t>
  </si>
  <si>
    <t>5111</t>
  </si>
  <si>
    <t>ß»Ýù»ñÇ ¨ßÇÝ.  ձեռք  բերում</t>
  </si>
  <si>
    <t>ß»Ýù»ñÇ ¨ßÇÝ.  Ï³å.Ýáñá·áõÙ</t>
  </si>
  <si>
    <t>4221</t>
  </si>
  <si>
    <t>4222</t>
  </si>
  <si>
    <t>·áñÍ. ¨ Í³é. áõÕ¨áñ.  Արտասահմ.</t>
  </si>
  <si>
    <t>·áñÍ. ¨ Í³é. áõÕ¨áñ. Ներքին</t>
  </si>
  <si>
    <t>ß»Ýù»ñÇ ¨ßÇÝ.-Ç Ï³å.Ýáñá·áõÙ</t>
  </si>
  <si>
    <t>ß»Ýù»ñÇ ¨ßÇÝ. Ï³ռուցáõÙ</t>
  </si>
  <si>
    <t>Ծանոթու-  թյուն</t>
  </si>
  <si>
    <t>Ðá¹í³Í-  Ý»ñ</t>
  </si>
  <si>
    <t>4221/  4222</t>
  </si>
  <si>
    <t>ÀÜ¸² -ØºÜÀ</t>
  </si>
  <si>
    <t>ÀÝ¹.կապ   ծախսեր</t>
  </si>
  <si>
    <t>ÀÝ¹.í³ñã³ Ï³Ý µÛáõç»</t>
  </si>
  <si>
    <t>¹ñ³Ù³ñÏÕ³ÛÇÝ Í³Ëë</t>
  </si>
  <si>
    <t>մնաց. 01.01.18թ.</t>
  </si>
  <si>
    <t>Պարտքերը 01.01.18թ.դր.</t>
  </si>
  <si>
    <t>¹»µÇïáñ³Ï³Ý å³ñïù 01.01.18Ã</t>
  </si>
  <si>
    <t>Ք.  ²ðØ²ìÆð    Ð²Ø²ÚÜøÆ  ºÜÂ²Î²ÚàôÂÚ²Ü Ðà²Î-ÜºðÆ  2018Â.   ºÎ²ØàôîÜºðÆ   ºì   Ì²ÊêºðÆ     ²Øöàö</t>
  </si>
  <si>
    <t>Ընդամենը օտարումից մուտքեր</t>
  </si>
  <si>
    <t xml:space="preserve">ÀÜ¸²ØºÜÀ  ԾԱԽՍԵՐ  </t>
  </si>
  <si>
    <t xml:space="preserve">Ք.  ²ðØ²ìÆð   Ð²Ø²ÚÜøÆ   2018թ    ´ÚàôæԵÆ   Ì²ÊêºðÆ   ԱՄՓՈՓ                                                                                 </t>
  </si>
  <si>
    <t>¹»µÇïá-  ñ³Ï³Ý å³ñïù 01.01.18Ã</t>
  </si>
  <si>
    <t>գույքիօտարում</t>
  </si>
  <si>
    <t xml:space="preserve"> հողի  օտարում</t>
  </si>
  <si>
    <t>Ընդամենը   բյուջետային հիմնարկներ</t>
  </si>
  <si>
    <t xml:space="preserve">   </t>
  </si>
  <si>
    <t xml:space="preserve">                         </t>
  </si>
  <si>
    <t xml:space="preserve">      </t>
  </si>
  <si>
    <t>Թիվ 1 մանկապարտեզ</t>
  </si>
  <si>
    <t>Թիվ 2 մանկապարտեզ</t>
  </si>
  <si>
    <t>Թիվ 3 մանկապարտեզ</t>
  </si>
  <si>
    <t>Թիվ 4 մանկապարտեզ</t>
  </si>
  <si>
    <t>Թիվ 5 մանկապարտեզ</t>
  </si>
  <si>
    <t>Թիվ 6 մանկապարտեզ</t>
  </si>
  <si>
    <t>Թիվ 7 մանկապարտեզ</t>
  </si>
  <si>
    <t>Թիվ 8 մանկապարտեզ</t>
  </si>
  <si>
    <t>Թիվ 9 մանկապարտեզ</t>
  </si>
  <si>
    <t>Թիվ 10 մանկապարտեզ</t>
  </si>
  <si>
    <t>Թիվ 11 մանկապարտեզ</t>
  </si>
  <si>
    <t>Թիվ 12 մանկապարտեզ</t>
  </si>
  <si>
    <t>Արվեստի դպրոց</t>
  </si>
  <si>
    <t>Երաժշտական դպրոց</t>
  </si>
  <si>
    <t>Մարզադպրոց</t>
  </si>
  <si>
    <t>Ըմբշամարտի դպրոց</t>
  </si>
  <si>
    <t>Շախմատի դպրոց</t>
  </si>
  <si>
    <t>Ընդամենը  արտադպ.</t>
  </si>
  <si>
    <t>Ընդամենը մանկ</t>
  </si>
  <si>
    <t>Զբոսայգի</t>
  </si>
  <si>
    <t>Գրադարան</t>
  </si>
  <si>
    <t>Ջրամատակարար</t>
  </si>
  <si>
    <t>Ընդ. Վարչական բյուջե</t>
  </si>
  <si>
    <t>Ընդ. Ֆոնդային բյուջե</t>
  </si>
  <si>
    <t>ԸՆԴԱՄԵՆԸ</t>
  </si>
  <si>
    <t>Ընդ.ընթացիկ պարտք</t>
  </si>
  <si>
    <t>Ընդ.կապիտալ պարտք</t>
  </si>
  <si>
    <t>ԸՆԴԱՄԵՆԸ   պարտք</t>
  </si>
  <si>
    <t>Մßակույթի  տուն</t>
  </si>
  <si>
    <t>-</t>
  </si>
  <si>
    <t xml:space="preserve">ԸնդամենըՓԱՍՏԱՑԻ  ԾԱԽՍԵՐ  </t>
  </si>
  <si>
    <t>Ընդամենը կապիտալ պարտք</t>
  </si>
  <si>
    <t>Ընդամենը պարտք</t>
  </si>
  <si>
    <t>Ընդամենը ընթացիկ պարտք</t>
  </si>
  <si>
    <t xml:space="preserve">Ընդամենը </t>
  </si>
  <si>
    <t>Ընդամենը .կապ.ծախսեր</t>
  </si>
  <si>
    <t>Ընդամենը .ընթացիկ ծախսեր</t>
  </si>
  <si>
    <t>5132</t>
  </si>
  <si>
    <t>Մշակույթի  տուն</t>
  </si>
  <si>
    <t xml:space="preserve">ՀՈԱԿ-ՆԵՐԻ 31.12.2018թ. ԴՐՈՒԹՅԱՄԲ  ՓԱՍՏԱՑԻ  ԵԿԱՄՈՒՏՆԵՐԻ  ԵՎ  ԾԱԽՍԵՐԻ ԱՄՓՈՓ </t>
  </si>
  <si>
    <t xml:space="preserve"> Ðà²Î-ÜºðÆ  31.12,2018թ. ԴՐՈՒԹՅԱՄԲ  ¸ð²Ø²ðÎÔ²ÚÆÜ   ԵԿԱՄՈՒՏՆԵՐԻ  ԵՎ   Ì²ÊêºðԻ ԱՄՓՈՓ </t>
  </si>
  <si>
    <t>Ñ³ßíի ÙÝ³ó. 31.12. 18թ. Դր</t>
  </si>
  <si>
    <t>կրեդիïáñ³Ï³Ý å³ñïù 31.12,18Ã.</t>
  </si>
  <si>
    <t>Î³ï³ñí³Í առ 31,12,18թ.</t>
  </si>
  <si>
    <t>Բյուջեի կատարման դրամարկղային ամփոփ 31.12.2018թ. դր.</t>
  </si>
  <si>
    <t>Բյուջեի կատարման փաստացի ծախսերի  ամփոփ 31.12.2018թ. դր.</t>
  </si>
  <si>
    <t>Պարտքեր  31.12.2018թ. Դրությամբ</t>
  </si>
  <si>
    <t>Î³ï³ñí³Í առ 31.12.2018թ.</t>
  </si>
  <si>
    <t>կրեդÇïáñ³-  Ï³Ý å³ñïù 31.12.18Ã.</t>
  </si>
  <si>
    <t>Անվանումը</t>
  </si>
  <si>
    <t>Հաշվ հաշիվ</t>
  </si>
  <si>
    <t>Գազ</t>
  </si>
  <si>
    <t>Ջուր</t>
  </si>
  <si>
    <t xml:space="preserve">Ընդամենը  </t>
  </si>
  <si>
    <t>Ք ²ðØ²ìÆð  Ð²Ø²ÚÜøÆ ºÜÂ²Î²ÚàôÂÚ²Ü Ðà²Î-ÜºðÆ2018Â.                                ԴԵԲԻՏՈՐԱԿԱՆ ՊԱՐՏՔԵՐԻ    ²Øöàö</t>
  </si>
  <si>
    <t>Բարեկարգում</t>
  </si>
  <si>
    <t>Տրված Կանխավճար</t>
  </si>
  <si>
    <t>դրամ</t>
  </si>
  <si>
    <t>կապի ծառ.</t>
  </si>
  <si>
    <t>բնապ. վճար</t>
  </si>
  <si>
    <t xml:space="preserve">ԾԱԽՍՎԱԾ </t>
  </si>
  <si>
    <t xml:space="preserve">                                                                                                                                        Տ   Ե   Ղ  Ե   Կ   Ա   Ն   Ք</t>
  </si>
  <si>
    <t>Էլ.Էն.</t>
  </si>
  <si>
    <t>Ընդ. 4212</t>
  </si>
  <si>
    <t>Ընդամենը դեբիտորական պարտքեր</t>
  </si>
  <si>
    <t xml:space="preserve">Հաշվի մն. </t>
  </si>
  <si>
    <t>այդ թվում ըստ հոդվածների</t>
  </si>
  <si>
    <t>գազ</t>
  </si>
  <si>
    <t>էլ.էն</t>
  </si>
  <si>
    <t>Ընդ          4212</t>
  </si>
  <si>
    <t>Ընդամենը սուբսիդիա</t>
  </si>
  <si>
    <t>Համայնքապետարան</t>
  </si>
  <si>
    <t>Համայնքային այլ</t>
  </si>
  <si>
    <t>Ճանապ. Տրանսպորտ</t>
  </si>
  <si>
    <t>ՔԿԱԳ</t>
  </si>
  <si>
    <t xml:space="preserve">Բարեկարգում </t>
  </si>
  <si>
    <t>N 1 Մանկապարտեզ</t>
  </si>
  <si>
    <t>N 2 Մանկապարտեզ</t>
  </si>
  <si>
    <t>N 3 Մանկապարտեզ</t>
  </si>
  <si>
    <t>N 4 Մանկապարտեզ</t>
  </si>
  <si>
    <t>N 5 Մանկապարտեզ</t>
  </si>
  <si>
    <t>N 6 Մանկապարտեզ</t>
  </si>
  <si>
    <t>N 7 Մանկապարտեզ</t>
  </si>
  <si>
    <t>N 8 Մանկապարտեզ</t>
  </si>
  <si>
    <t>N 9 Մանկապարտեզ</t>
  </si>
  <si>
    <t>N 10 Մանկապարտեզ</t>
  </si>
  <si>
    <t>N 11 Մանկապարտեզ</t>
  </si>
  <si>
    <t>N 12 Մանկապարտեզ</t>
  </si>
  <si>
    <t>Արվեստի դպրոց ՀՈԱԿ</t>
  </si>
  <si>
    <t>Մշակ. Տուն</t>
  </si>
  <si>
    <t>Երաժշտ.դպրոց</t>
  </si>
  <si>
    <t>î º Ô º Î ² î ì à ô Â Ú à ô Ü</t>
  </si>
  <si>
    <t>Ð/Ð</t>
  </si>
  <si>
    <t>հունվ.</t>
  </si>
  <si>
    <t>փետ.</t>
  </si>
  <si>
    <t>մարտ</t>
  </si>
  <si>
    <t>ապրիլ</t>
  </si>
  <si>
    <t>մայիս</t>
  </si>
  <si>
    <t>հունիս</t>
  </si>
  <si>
    <t>հուլիս</t>
  </si>
  <si>
    <t>օգոստ.</t>
  </si>
  <si>
    <t>սեպտ.</t>
  </si>
  <si>
    <t>հոկտ.</t>
  </si>
  <si>
    <t>նոյեմբ.</t>
  </si>
  <si>
    <t>դեկտ.</t>
  </si>
  <si>
    <t>²ñí»ëïÇ   ¹åñáó</t>
  </si>
  <si>
    <t>»ñ³Åß. ¹åñáó</t>
  </si>
  <si>
    <t xml:space="preserve">ÀÜ¸²ØºÜÀ  </t>
  </si>
  <si>
    <t xml:space="preserve"> Մ³ñ½³¹åñáó</t>
  </si>
  <si>
    <t>ÀÙµß³Ù³ñïÇ  ¹åñáó</t>
  </si>
  <si>
    <t>Þ³ËÙ³ïÇ  ¹åñáó</t>
  </si>
  <si>
    <t>Øß³ÏáõÛÃÇ  ïáõÝ</t>
  </si>
  <si>
    <t>Այլ մուտք</t>
  </si>
  <si>
    <t>Զµáë³Û·Ç</t>
  </si>
  <si>
    <t>æñ³Ù³ï³Ï³ñ³ñ</t>
  </si>
  <si>
    <t>ÀÜ¸²ØºÜÀ  ՀՈԱԿ</t>
  </si>
  <si>
    <t xml:space="preserve">´³ñ»Ï³ñ·. ³Õµ³Ñ. </t>
  </si>
  <si>
    <t>Ասֆալտի մուտքեր</t>
  </si>
  <si>
    <t>³ÛÉ  Ùáõïù»ñ, ï»Õ»Ï³Ýù</t>
  </si>
  <si>
    <t>հազ:դրամ</t>
  </si>
  <si>
    <t xml:space="preserve">   առ  31.12.2018թ. դրությամբ</t>
  </si>
  <si>
    <t xml:space="preserve">  ուղղում</t>
  </si>
  <si>
    <t xml:space="preserve">    ²ñÙ³íÇñ    Ñ³Ù³ÛÝùÇ    »ÝÃ³Ï³ÛáõÃÛ³Ý     ÑÇÙÝ³ñÏÝ»ñÇ     ÏáÕÙÇó    2018թ.  ·³ÝÓíáÕ      տեղական վճարների,  ³ÕµÇ    íճարների և ³ÛÉ       »Ï³ÙáõïÝ»ñÇ  Ï³ï³ñÙ³Ý      í»ñ³µ»ñÛ³É</t>
  </si>
  <si>
    <t>ընդամենը</t>
  </si>
  <si>
    <t>ÐÆØÜ²ðÎÆ  ²Üì²ÜՈՒՄԸ</t>
  </si>
  <si>
    <t>հազ.դրամ</t>
  </si>
  <si>
    <t>Էլ.  էներգիա</t>
  </si>
  <si>
    <t>N</t>
  </si>
  <si>
    <t>Կանխավճարի մնացորդ Ընդամենը  առ 31.12.18թ.</t>
  </si>
  <si>
    <t>ՀԱՄԱՅՆՔԻ ՂԵԿԱՎԱՐ՝</t>
  </si>
  <si>
    <t>ՖԻՆ.ԲԱԺՆԻ ՊԵՏ-ԳԼԽ.ՖԻՆԱՆՍԻՍՏ՝</t>
  </si>
  <si>
    <t>ԳԼԽԱՎՈՐ ՄԱՍՆԱԳԵՏ՝</t>
  </si>
  <si>
    <t>Դ. ԽՈՒԴԱԹՅԱՆ</t>
  </si>
  <si>
    <t>Ա. ԳՐԻԳՈՐՅԱՆ</t>
  </si>
  <si>
    <t>Օ. ՄԱՐՏԻՐՈՍՅԱՆ</t>
  </si>
  <si>
    <t xml:space="preserve">                          Ք. Արմավիր համայնքի  2018թ բյուջեի կատարման ընթացքում ծախսերի գծով առաջացած  դեբիտորական պարտքերը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</si>
</sst>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;[Red]0.00"/>
    <numFmt numFmtId="183" formatCode="0;[Red]0"/>
    <numFmt numFmtId="184" formatCode="0.000;[Red]0.000"/>
    <numFmt numFmtId="185" formatCode="[$-FC19]d\ mmmm\ yyyy\ &quot;г.&quot;"/>
    <numFmt numFmtId="186" formatCode="[$-F800]dddd\,\ mmmm\ dd\,\ yyyy"/>
    <numFmt numFmtId="187" formatCode="#,##0.0"/>
    <numFmt numFmtId="188" formatCode="#,##0.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96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i/>
      <sz val="10"/>
      <name val="Times Armenian"/>
      <family val="1"/>
    </font>
    <font>
      <sz val="12"/>
      <name val="Arial LatArm"/>
      <family val="2"/>
    </font>
    <font>
      <sz val="11"/>
      <name val="Times Armenian"/>
      <family val="1"/>
    </font>
    <font>
      <b/>
      <sz val="13"/>
      <name val="Times Armenian"/>
      <family val="1"/>
    </font>
    <font>
      <b/>
      <sz val="11"/>
      <name val="Times Armenian"/>
      <family val="1"/>
    </font>
    <font>
      <b/>
      <sz val="12"/>
      <name val="Arial"/>
      <family val="2"/>
    </font>
    <font>
      <sz val="8"/>
      <name val="Arial LatArm"/>
      <family val="2"/>
    </font>
    <font>
      <b/>
      <sz val="14"/>
      <name val="Times Armenian"/>
      <family val="1"/>
    </font>
    <font>
      <b/>
      <sz val="10"/>
      <name val="Times Armenian"/>
      <family val="1"/>
    </font>
    <font>
      <b/>
      <i/>
      <sz val="14"/>
      <name val="Times Armenian"/>
      <family val="1"/>
    </font>
    <font>
      <b/>
      <i/>
      <sz val="11"/>
      <name val="Times Armenian"/>
      <family val="1"/>
    </font>
    <font>
      <b/>
      <sz val="11"/>
      <color indexed="9"/>
      <name val="Times Armenian"/>
      <family val="1"/>
    </font>
    <font>
      <b/>
      <sz val="10"/>
      <color indexed="9"/>
      <name val="Times Armenian"/>
      <family val="1"/>
    </font>
    <font>
      <b/>
      <sz val="12"/>
      <name val="Times Armenian"/>
      <family val="1"/>
    </font>
    <font>
      <b/>
      <i/>
      <sz val="12"/>
      <name val="Times Armenian"/>
      <family val="1"/>
    </font>
    <font>
      <sz val="12"/>
      <name val="Times Armenian"/>
      <family val="1"/>
    </font>
    <font>
      <b/>
      <i/>
      <sz val="13"/>
      <name val="Times Armenian"/>
      <family val="1"/>
    </font>
    <font>
      <sz val="13"/>
      <name val="Times Armenian"/>
      <family val="1"/>
    </font>
    <font>
      <sz val="8"/>
      <name val="Times Armenian"/>
      <family val="1"/>
    </font>
    <font>
      <b/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b/>
      <sz val="10"/>
      <name val="Arial"/>
      <family val="2"/>
    </font>
    <font>
      <sz val="12"/>
      <name val="Arial Armenian"/>
      <family val="2"/>
    </font>
    <font>
      <b/>
      <sz val="11"/>
      <name val="Arial"/>
      <family val="2"/>
    </font>
    <font>
      <sz val="11"/>
      <name val="Arial LatArm"/>
      <family val="2"/>
    </font>
    <font>
      <sz val="12"/>
      <name val="Arial"/>
      <family val="2"/>
    </font>
    <font>
      <b/>
      <sz val="8"/>
      <name val="Arial LatArm"/>
      <family val="0"/>
    </font>
    <font>
      <b/>
      <sz val="8"/>
      <name val="Times Armenian"/>
      <family val="1"/>
    </font>
    <font>
      <b/>
      <sz val="14"/>
      <name val="Arial Armenian"/>
      <family val="2"/>
    </font>
    <font>
      <b/>
      <sz val="9"/>
      <name val="Arial Armenian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0"/>
      <color indexed="8"/>
      <name val="Arial Armenian"/>
      <family val="2"/>
    </font>
    <font>
      <sz val="11"/>
      <color indexed="10"/>
      <name val="Arial Armenian"/>
      <family val="2"/>
    </font>
    <font>
      <b/>
      <sz val="14"/>
      <color indexed="8"/>
      <name val="Arial Armenian"/>
      <family val="2"/>
    </font>
    <font>
      <b/>
      <sz val="12"/>
      <color indexed="8"/>
      <name val="Arial Armenian"/>
      <family val="2"/>
    </font>
    <font>
      <sz val="10"/>
      <color indexed="10"/>
      <name val="Arial Armenian"/>
      <family val="2"/>
    </font>
    <font>
      <b/>
      <sz val="10"/>
      <color indexed="10"/>
      <name val="Arial Armenian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sz val="10"/>
      <color theme="1"/>
      <name val="Arial Armenian"/>
      <family val="2"/>
    </font>
    <font>
      <sz val="11"/>
      <color rgb="FFFF0000"/>
      <name val="Arial Armenian"/>
      <family val="2"/>
    </font>
    <font>
      <b/>
      <sz val="14"/>
      <color theme="1"/>
      <name val="Arial Armenian"/>
      <family val="2"/>
    </font>
    <font>
      <b/>
      <sz val="12"/>
      <color theme="1"/>
      <name val="Arial Armenian"/>
      <family val="2"/>
    </font>
    <font>
      <sz val="10"/>
      <color rgb="FFFF0000"/>
      <name val="Arial Armenian"/>
      <family val="2"/>
    </font>
    <font>
      <b/>
      <sz val="10"/>
      <color rgb="FFFF0000"/>
      <name val="Arial Armenian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943">
    <xf numFmtId="0" fontId="0" fillId="0" borderId="0" xfId="0" applyAlignment="1">
      <alignment/>
    </xf>
    <xf numFmtId="0" fontId="2" fillId="0" borderId="0" xfId="0" applyFont="1" applyAlignment="1">
      <alignment/>
    </xf>
    <xf numFmtId="180" fontId="7" fillId="0" borderId="0" xfId="33" applyNumberFormat="1" applyFont="1" applyFill="1" applyAlignment="1">
      <alignment/>
      <protection/>
    </xf>
    <xf numFmtId="180" fontId="7" fillId="0" borderId="0" xfId="33" applyNumberFormat="1" applyFont="1" applyFill="1">
      <alignment/>
      <protection/>
    </xf>
    <xf numFmtId="2" fontId="7" fillId="0" borderId="0" xfId="33" applyNumberFormat="1" applyFont="1" applyFill="1">
      <alignment/>
      <protection/>
    </xf>
    <xf numFmtId="180" fontId="7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2" fillId="0" borderId="10" xfId="34" applyNumberFormat="1" applyFont="1" applyBorder="1" applyAlignment="1">
      <alignment horizontal="center"/>
      <protection/>
    </xf>
    <xf numFmtId="49" fontId="2" fillId="0" borderId="11" xfId="34" applyNumberFormat="1" applyFont="1" applyBorder="1" applyAlignment="1">
      <alignment/>
      <protection/>
    </xf>
    <xf numFmtId="180" fontId="2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" fontId="4" fillId="0" borderId="12" xfId="33" applyNumberFormat="1" applyFont="1" applyFill="1" applyBorder="1" applyAlignment="1">
      <alignment horizontal="center" vertical="center"/>
      <protection/>
    </xf>
    <xf numFmtId="1" fontId="4" fillId="0" borderId="13" xfId="33" applyNumberFormat="1" applyFont="1" applyFill="1" applyBorder="1" applyAlignment="1">
      <alignment horizontal="center" vertical="center"/>
      <protection/>
    </xf>
    <xf numFmtId="49" fontId="4" fillId="0" borderId="13" xfId="33" applyNumberFormat="1" applyFont="1" applyFill="1" applyBorder="1" applyAlignment="1">
      <alignment horizontal="center" vertical="center"/>
      <protection/>
    </xf>
    <xf numFmtId="180" fontId="4" fillId="0" borderId="13" xfId="33" applyNumberFormat="1" applyFont="1" applyFill="1" applyBorder="1" applyAlignment="1">
      <alignment horizontal="center" vertical="center"/>
      <protection/>
    </xf>
    <xf numFmtId="49" fontId="8" fillId="32" borderId="14" xfId="33" applyNumberFormat="1" applyFont="1" applyFill="1" applyBorder="1" applyAlignment="1">
      <alignment vertical="center" wrapText="1"/>
      <protection/>
    </xf>
    <xf numFmtId="49" fontId="8" fillId="32" borderId="13" xfId="33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/>
    </xf>
    <xf numFmtId="49" fontId="4" fillId="0" borderId="15" xfId="33" applyNumberFormat="1" applyFont="1" applyFill="1" applyBorder="1" applyAlignment="1">
      <alignment horizontal="center" vertical="center"/>
      <protection/>
    </xf>
    <xf numFmtId="1" fontId="4" fillId="0" borderId="15" xfId="33" applyNumberFormat="1" applyFont="1" applyFill="1" applyBorder="1" applyAlignment="1">
      <alignment horizontal="center" vertical="center"/>
      <protection/>
    </xf>
    <xf numFmtId="49" fontId="4" fillId="0" borderId="12" xfId="33" applyNumberFormat="1" applyFont="1" applyFill="1" applyBorder="1" applyAlignment="1">
      <alignment horizontal="center" vertical="center"/>
      <protection/>
    </xf>
    <xf numFmtId="1" fontId="4" fillId="0" borderId="16" xfId="33" applyNumberFormat="1" applyFont="1" applyFill="1" applyBorder="1" applyAlignment="1">
      <alignment horizontal="center" vertical="center" wrapText="1"/>
      <protection/>
    </xf>
    <xf numFmtId="180" fontId="4" fillId="0" borderId="16" xfId="33" applyNumberFormat="1" applyFont="1" applyFill="1" applyBorder="1" applyAlignment="1">
      <alignment horizontal="center" vertical="center" wrapText="1"/>
      <protection/>
    </xf>
    <xf numFmtId="180" fontId="4" fillId="0" borderId="17" xfId="33" applyNumberFormat="1" applyFont="1" applyFill="1" applyBorder="1" applyAlignment="1">
      <alignment horizontal="center" vertical="center" wrapText="1"/>
      <protection/>
    </xf>
    <xf numFmtId="180" fontId="4" fillId="0" borderId="17" xfId="33" applyNumberFormat="1" applyFont="1" applyFill="1" applyBorder="1" applyAlignment="1">
      <alignment horizontal="center" vertical="center"/>
      <protection/>
    </xf>
    <xf numFmtId="180" fontId="4" fillId="0" borderId="18" xfId="33" applyNumberFormat="1" applyFont="1" applyFill="1" applyBorder="1" applyAlignment="1">
      <alignment horizontal="center" vertical="center" wrapText="1"/>
      <protection/>
    </xf>
    <xf numFmtId="180" fontId="4" fillId="0" borderId="18" xfId="3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180" fontId="2" fillId="0" borderId="19" xfId="34" applyNumberFormat="1" applyFont="1" applyBorder="1" applyAlignment="1">
      <alignment horizontal="center" vertical="center" wrapText="1"/>
      <protection/>
    </xf>
    <xf numFmtId="180" fontId="2" fillId="0" borderId="20" xfId="34" applyNumberFormat="1" applyFont="1" applyBorder="1" applyAlignment="1">
      <alignment horizontal="center" vertical="center" wrapText="1"/>
      <protection/>
    </xf>
    <xf numFmtId="0" fontId="2" fillId="0" borderId="21" xfId="34" applyFont="1" applyBorder="1" applyAlignment="1">
      <alignment horizontal="center" vertical="center" wrapText="1"/>
      <protection/>
    </xf>
    <xf numFmtId="0" fontId="2" fillId="0" borderId="22" xfId="34" applyFont="1" applyBorder="1" applyAlignment="1">
      <alignment horizontal="center" vertical="center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180" fontId="2" fillId="0" borderId="16" xfId="34" applyNumberFormat="1" applyFont="1" applyBorder="1" applyAlignment="1">
      <alignment horizontal="center" vertical="center" wrapText="1"/>
      <protection/>
    </xf>
    <xf numFmtId="180" fontId="2" fillId="0" borderId="22" xfId="34" applyNumberFormat="1" applyFont="1" applyBorder="1" applyAlignment="1">
      <alignment horizontal="center" vertical="center" wrapText="1"/>
      <protection/>
    </xf>
    <xf numFmtId="180" fontId="2" fillId="0" borderId="23" xfId="34" applyNumberFormat="1" applyFont="1" applyBorder="1" applyAlignment="1">
      <alignment horizontal="center" vertical="center" wrapText="1"/>
      <protection/>
    </xf>
    <xf numFmtId="49" fontId="2" fillId="0" borderId="22" xfId="34" applyNumberFormat="1" applyFont="1" applyBorder="1" applyAlignment="1">
      <alignment horizontal="center"/>
      <protection/>
    </xf>
    <xf numFmtId="49" fontId="2" fillId="0" borderId="16" xfId="34" applyNumberFormat="1" applyFont="1" applyBorder="1" applyAlignment="1">
      <alignment horizontal="center"/>
      <protection/>
    </xf>
    <xf numFmtId="49" fontId="14" fillId="0" borderId="19" xfId="34" applyNumberFormat="1" applyFont="1" applyBorder="1" applyAlignment="1">
      <alignment horizontal="center"/>
      <protection/>
    </xf>
    <xf numFmtId="180" fontId="16" fillId="0" borderId="16" xfId="34" applyNumberFormat="1" applyFont="1" applyBorder="1">
      <alignment/>
      <protection/>
    </xf>
    <xf numFmtId="180" fontId="16" fillId="0" borderId="22" xfId="34" applyNumberFormat="1" applyFont="1" applyBorder="1">
      <alignment/>
      <protection/>
    </xf>
    <xf numFmtId="180" fontId="16" fillId="0" borderId="20" xfId="34" applyNumberFormat="1" applyFont="1" applyBorder="1">
      <alignment/>
      <protection/>
    </xf>
    <xf numFmtId="49" fontId="2" fillId="0" borderId="19" xfId="34" applyNumberFormat="1" applyFont="1" applyBorder="1" applyAlignment="1">
      <alignment horizontal="center"/>
      <protection/>
    </xf>
    <xf numFmtId="180" fontId="14" fillId="0" borderId="16" xfId="34" applyNumberFormat="1" applyFont="1" applyBorder="1">
      <alignment/>
      <protection/>
    </xf>
    <xf numFmtId="49" fontId="2" fillId="0" borderId="24" xfId="34" applyNumberFormat="1" applyFont="1" applyBorder="1" applyAlignment="1">
      <alignment horizontal="center"/>
      <protection/>
    </xf>
    <xf numFmtId="49" fontId="2" fillId="0" borderId="25" xfId="34" applyNumberFormat="1" applyFont="1" applyBorder="1" applyAlignment="1">
      <alignment horizontal="center"/>
      <protection/>
    </xf>
    <xf numFmtId="180" fontId="2" fillId="0" borderId="24" xfId="34" applyNumberFormat="1" applyFont="1" applyBorder="1">
      <alignment/>
      <protection/>
    </xf>
    <xf numFmtId="180" fontId="2" fillId="0" borderId="26" xfId="34" applyNumberFormat="1" applyFont="1" applyBorder="1">
      <alignment/>
      <protection/>
    </xf>
    <xf numFmtId="49" fontId="2" fillId="0" borderId="11" xfId="34" applyNumberFormat="1" applyFont="1" applyBorder="1" applyAlignment="1">
      <alignment horizontal="center"/>
      <protection/>
    </xf>
    <xf numFmtId="49" fontId="2" fillId="0" borderId="27" xfId="34" applyNumberFormat="1" applyFont="1" applyBorder="1" applyAlignment="1">
      <alignment horizontal="center"/>
      <protection/>
    </xf>
    <xf numFmtId="49" fontId="2" fillId="0" borderId="28" xfId="34" applyNumberFormat="1" applyFont="1" applyBorder="1" applyAlignment="1">
      <alignment horizontal="center"/>
      <protection/>
    </xf>
    <xf numFmtId="180" fontId="2" fillId="0" borderId="27" xfId="34" applyNumberFormat="1" applyFont="1" applyBorder="1">
      <alignment/>
      <protection/>
    </xf>
    <xf numFmtId="180" fontId="2" fillId="0" borderId="29" xfId="34" applyNumberFormat="1" applyFont="1" applyBorder="1">
      <alignment/>
      <protection/>
    </xf>
    <xf numFmtId="180" fontId="14" fillId="0" borderId="22" xfId="34" applyNumberFormat="1" applyFont="1" applyBorder="1">
      <alignment/>
      <protection/>
    </xf>
    <xf numFmtId="180" fontId="2" fillId="0" borderId="30" xfId="34" applyNumberFormat="1" applyFont="1" applyBorder="1">
      <alignment/>
      <protection/>
    </xf>
    <xf numFmtId="180" fontId="2" fillId="0" borderId="31" xfId="34" applyNumberFormat="1" applyFont="1" applyBorder="1">
      <alignment/>
      <protection/>
    </xf>
    <xf numFmtId="180" fontId="14" fillId="0" borderId="30" xfId="34" applyNumberFormat="1" applyFont="1" applyBorder="1">
      <alignment/>
      <protection/>
    </xf>
    <xf numFmtId="180" fontId="14" fillId="0" borderId="29" xfId="34" applyNumberFormat="1" applyFont="1" applyBorder="1">
      <alignment/>
      <protection/>
    </xf>
    <xf numFmtId="180" fontId="2" fillId="0" borderId="32" xfId="34" applyNumberFormat="1" applyFont="1" applyBorder="1">
      <alignment/>
      <protection/>
    </xf>
    <xf numFmtId="180" fontId="2" fillId="0" borderId="33" xfId="34" applyNumberFormat="1" applyFont="1" applyBorder="1">
      <alignment/>
      <protection/>
    </xf>
    <xf numFmtId="49" fontId="14" fillId="0" borderId="20" xfId="34" applyNumberFormat="1" applyFont="1" applyBorder="1" applyAlignment="1">
      <alignment horizontal="center"/>
      <protection/>
    </xf>
    <xf numFmtId="49" fontId="14" fillId="0" borderId="16" xfId="34" applyNumberFormat="1" applyFont="1" applyBorder="1" applyAlignment="1">
      <alignment horizontal="center"/>
      <protection/>
    </xf>
    <xf numFmtId="49" fontId="14" fillId="0" borderId="12" xfId="34" applyNumberFormat="1" applyFont="1" applyBorder="1" applyAlignment="1">
      <alignment horizontal="center"/>
      <protection/>
    </xf>
    <xf numFmtId="180" fontId="14" fillId="0" borderId="13" xfId="34" applyNumberFormat="1" applyFont="1" applyBorder="1">
      <alignment/>
      <protection/>
    </xf>
    <xf numFmtId="180" fontId="14" fillId="0" borderId="15" xfId="34" applyNumberFormat="1" applyFont="1" applyBorder="1">
      <alignment/>
      <protection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31" xfId="34" applyNumberFormat="1" applyFont="1" applyBorder="1" applyAlignment="1">
      <alignment horizontal="center"/>
      <protection/>
    </xf>
    <xf numFmtId="0" fontId="2" fillId="0" borderId="34" xfId="34" applyFont="1" applyFill="1" applyBorder="1" applyAlignment="1">
      <alignment horizontal="center" vertical="center" wrapText="1"/>
      <protection/>
    </xf>
    <xf numFmtId="0" fontId="2" fillId="0" borderId="35" xfId="34" applyFont="1" applyFill="1" applyBorder="1" applyAlignment="1">
      <alignment horizontal="center" vertical="center" wrapText="1"/>
      <protection/>
    </xf>
    <xf numFmtId="180" fontId="2" fillId="0" borderId="16" xfId="34" applyNumberFormat="1" applyFont="1" applyFill="1" applyBorder="1" applyAlignment="1">
      <alignment horizontal="center" vertical="center" wrapText="1"/>
      <protection/>
    </xf>
    <xf numFmtId="180" fontId="16" fillId="0" borderId="24" xfId="34" applyNumberFormat="1" applyFont="1" applyFill="1" applyBorder="1">
      <alignment/>
      <protection/>
    </xf>
    <xf numFmtId="49" fontId="2" fillId="0" borderId="24" xfId="34" applyNumberFormat="1" applyFont="1" applyFill="1" applyBorder="1" applyAlignment="1">
      <alignment horizontal="center"/>
      <protection/>
    </xf>
    <xf numFmtId="49" fontId="2" fillId="0" borderId="27" xfId="34" applyNumberFormat="1" applyFont="1" applyFill="1" applyBorder="1" applyAlignment="1">
      <alignment horizontal="center"/>
      <protection/>
    </xf>
    <xf numFmtId="180" fontId="2" fillId="0" borderId="27" xfId="34" applyNumberFormat="1" applyFont="1" applyFill="1" applyBorder="1">
      <alignment/>
      <protection/>
    </xf>
    <xf numFmtId="180" fontId="2" fillId="0" borderId="29" xfId="34" applyNumberFormat="1" applyFont="1" applyFill="1" applyBorder="1">
      <alignment/>
      <protection/>
    </xf>
    <xf numFmtId="0" fontId="2" fillId="0" borderId="11" xfId="34" applyFont="1" applyFill="1" applyBorder="1" applyAlignment="1">
      <alignment horizontal="left"/>
      <protection/>
    </xf>
    <xf numFmtId="0" fontId="2" fillId="0" borderId="29" xfId="34" applyFont="1" applyFill="1" applyBorder="1" applyAlignment="1">
      <alignment horizontal="left"/>
      <protection/>
    </xf>
    <xf numFmtId="0" fontId="2" fillId="0" borderId="28" xfId="34" applyFont="1" applyFill="1" applyBorder="1" applyAlignment="1">
      <alignment horizontal="center"/>
      <protection/>
    </xf>
    <xf numFmtId="49" fontId="2" fillId="0" borderId="21" xfId="34" applyNumberFormat="1" applyFont="1" applyFill="1" applyBorder="1" applyAlignment="1">
      <alignment horizontal="center"/>
      <protection/>
    </xf>
    <xf numFmtId="180" fontId="2" fillId="0" borderId="24" xfId="34" applyNumberFormat="1" applyFont="1" applyFill="1" applyBorder="1">
      <alignment/>
      <protection/>
    </xf>
    <xf numFmtId="180" fontId="2" fillId="0" borderId="26" xfId="34" applyNumberFormat="1" applyFont="1" applyFill="1" applyBorder="1">
      <alignment/>
      <protection/>
    </xf>
    <xf numFmtId="49" fontId="2" fillId="0" borderId="28" xfId="34" applyNumberFormat="1" applyFont="1" applyFill="1" applyBorder="1" applyAlignment="1">
      <alignment horizontal="center"/>
      <protection/>
    </xf>
    <xf numFmtId="49" fontId="2" fillId="0" borderId="11" xfId="34" applyNumberFormat="1" applyFont="1" applyFill="1" applyBorder="1" applyAlignment="1">
      <alignment horizontal="center"/>
      <protection/>
    </xf>
    <xf numFmtId="49" fontId="2" fillId="0" borderId="36" xfId="34" applyNumberFormat="1" applyFont="1" applyFill="1" applyBorder="1" applyAlignment="1">
      <alignment horizontal="center"/>
      <protection/>
    </xf>
    <xf numFmtId="180" fontId="2" fillId="0" borderId="3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180" fontId="4" fillId="0" borderId="37" xfId="33" applyNumberFormat="1" applyFont="1" applyFill="1" applyBorder="1" applyAlignment="1">
      <alignment horizontal="center" vertical="center" wrapText="1"/>
      <protection/>
    </xf>
    <xf numFmtId="180" fontId="4" fillId="0" borderId="38" xfId="33" applyNumberFormat="1" applyFont="1" applyFill="1" applyBorder="1" applyAlignment="1">
      <alignment horizontal="center" vertical="center" wrapText="1"/>
      <protection/>
    </xf>
    <xf numFmtId="180" fontId="4" fillId="0" borderId="39" xfId="33" applyNumberFormat="1" applyFont="1" applyFill="1" applyBorder="1" applyAlignment="1">
      <alignment horizontal="center" vertical="center" wrapText="1"/>
      <protection/>
    </xf>
    <xf numFmtId="180" fontId="4" fillId="0" borderId="37" xfId="33" applyNumberFormat="1" applyFont="1" applyFill="1" applyBorder="1" applyAlignment="1">
      <alignment horizontal="center" vertical="center"/>
      <protection/>
    </xf>
    <xf numFmtId="180" fontId="4" fillId="0" borderId="32" xfId="33" applyNumberFormat="1" applyFont="1" applyFill="1" applyBorder="1" applyAlignment="1">
      <alignment horizontal="center" vertical="center" wrapText="1"/>
      <protection/>
    </xf>
    <xf numFmtId="49" fontId="2" fillId="0" borderId="33" xfId="34" applyNumberFormat="1" applyFont="1" applyFill="1" applyBorder="1" applyAlignment="1">
      <alignment horizontal="center"/>
      <protection/>
    </xf>
    <xf numFmtId="49" fontId="2" fillId="0" borderId="40" xfId="34" applyNumberFormat="1" applyFont="1" applyFill="1" applyBorder="1" applyAlignment="1">
      <alignment horizontal="center"/>
      <protection/>
    </xf>
    <xf numFmtId="180" fontId="2" fillId="0" borderId="40" xfId="34" applyNumberFormat="1" applyFont="1" applyFill="1" applyBorder="1">
      <alignment/>
      <protection/>
    </xf>
    <xf numFmtId="180" fontId="2" fillId="0" borderId="41" xfId="34" applyNumberFormat="1" applyFont="1" applyFill="1" applyBorder="1">
      <alignment/>
      <protection/>
    </xf>
    <xf numFmtId="49" fontId="2" fillId="0" borderId="10" xfId="34" applyNumberFormat="1" applyFont="1" applyFill="1" applyBorder="1" applyAlignment="1">
      <alignment horizontal="center"/>
      <protection/>
    </xf>
    <xf numFmtId="49" fontId="2" fillId="0" borderId="42" xfId="34" applyNumberFormat="1" applyFont="1" applyFill="1" applyBorder="1" applyAlignment="1">
      <alignment horizontal="center"/>
      <protection/>
    </xf>
    <xf numFmtId="180" fontId="16" fillId="0" borderId="10" xfId="34" applyNumberFormat="1" applyFont="1" applyFill="1" applyBorder="1">
      <alignment/>
      <protection/>
    </xf>
    <xf numFmtId="180" fontId="2" fillId="0" borderId="21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20" xfId="34" applyNumberFormat="1" applyFont="1" applyFill="1" applyBorder="1" applyAlignment="1">
      <alignment horizontal="center" vertical="center" wrapText="1"/>
      <protection/>
    </xf>
    <xf numFmtId="180" fontId="16" fillId="0" borderId="26" xfId="34" applyNumberFormat="1" applyFont="1" applyFill="1" applyBorder="1">
      <alignment/>
      <protection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44" xfId="34" applyNumberFormat="1" applyFont="1" applyFill="1" applyBorder="1" applyAlignment="1">
      <alignment horizontal="center"/>
      <protection/>
    </xf>
    <xf numFmtId="180" fontId="2" fillId="0" borderId="44" xfId="34" applyNumberFormat="1" applyFont="1" applyFill="1" applyBorder="1">
      <alignment/>
      <protection/>
    </xf>
    <xf numFmtId="180" fontId="2" fillId="0" borderId="45" xfId="34" applyNumberFormat="1" applyFont="1" applyFill="1" applyBorder="1">
      <alignment/>
      <protection/>
    </xf>
    <xf numFmtId="180" fontId="2" fillId="0" borderId="46" xfId="0" applyNumberFormat="1" applyFont="1" applyFill="1" applyBorder="1" applyAlignment="1">
      <alignment/>
    </xf>
    <xf numFmtId="1" fontId="4" fillId="0" borderId="2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49" fontId="23" fillId="0" borderId="31" xfId="34" applyNumberFormat="1" applyFont="1" applyFill="1" applyBorder="1" applyAlignment="1">
      <alignment horizontal="center"/>
      <protection/>
    </xf>
    <xf numFmtId="49" fontId="9" fillId="0" borderId="31" xfId="34" applyNumberFormat="1" applyFont="1" applyFill="1" applyBorder="1" applyAlignment="1">
      <alignment horizontal="center"/>
      <protection/>
    </xf>
    <xf numFmtId="180" fontId="22" fillId="0" borderId="31" xfId="34" applyNumberFormat="1" applyFont="1" applyFill="1" applyBorder="1">
      <alignment/>
      <protection/>
    </xf>
    <xf numFmtId="180" fontId="22" fillId="0" borderId="47" xfId="34" applyNumberFormat="1" applyFont="1" applyFill="1" applyBorder="1">
      <alignment/>
      <protection/>
    </xf>
    <xf numFmtId="0" fontId="23" fillId="0" borderId="0" xfId="0" applyFont="1" applyFill="1" applyAlignment="1">
      <alignment/>
    </xf>
    <xf numFmtId="49" fontId="21" fillId="0" borderId="27" xfId="34" applyNumberFormat="1" applyFont="1" applyFill="1" applyBorder="1" applyAlignment="1">
      <alignment horizontal="center"/>
      <protection/>
    </xf>
    <xf numFmtId="180" fontId="19" fillId="0" borderId="27" xfId="34" applyNumberFormat="1" applyFont="1" applyFill="1" applyBorder="1">
      <alignment/>
      <protection/>
    </xf>
    <xf numFmtId="180" fontId="19" fillId="0" borderId="11" xfId="34" applyNumberFormat="1" applyFont="1" applyFill="1" applyBorder="1">
      <alignment/>
      <protection/>
    </xf>
    <xf numFmtId="180" fontId="19" fillId="0" borderId="29" xfId="34" applyNumberFormat="1" applyFont="1" applyFill="1" applyBorder="1">
      <alignment/>
      <protection/>
    </xf>
    <xf numFmtId="49" fontId="21" fillId="0" borderId="16" xfId="34" applyNumberFormat="1" applyFont="1" applyFill="1" applyBorder="1" applyAlignment="1">
      <alignment horizontal="center"/>
      <protection/>
    </xf>
    <xf numFmtId="180" fontId="19" fillId="0" borderId="16" xfId="34" applyNumberFormat="1" applyFont="1" applyFill="1" applyBorder="1">
      <alignment/>
      <protection/>
    </xf>
    <xf numFmtId="180" fontId="19" fillId="0" borderId="22" xfId="34" applyNumberFormat="1" applyFont="1" applyFill="1" applyBorder="1">
      <alignment/>
      <protection/>
    </xf>
    <xf numFmtId="180" fontId="19" fillId="0" borderId="20" xfId="34" applyNumberFormat="1" applyFont="1" applyFill="1" applyBorder="1">
      <alignment/>
      <protection/>
    </xf>
    <xf numFmtId="49" fontId="21" fillId="0" borderId="22" xfId="34" applyNumberFormat="1" applyFont="1" applyFill="1" applyBorder="1" applyAlignment="1">
      <alignment horizontal="center"/>
      <protection/>
    </xf>
    <xf numFmtId="49" fontId="21" fillId="0" borderId="48" xfId="34" applyNumberFormat="1" applyFont="1" applyFill="1" applyBorder="1" applyAlignment="1">
      <alignment horizontal="center"/>
      <protection/>
    </xf>
    <xf numFmtId="180" fontId="21" fillId="0" borderId="16" xfId="34" applyNumberFormat="1" applyFont="1" applyFill="1" applyBorder="1">
      <alignment/>
      <protection/>
    </xf>
    <xf numFmtId="180" fontId="21" fillId="0" borderId="20" xfId="34" applyNumberFormat="1" applyFont="1" applyFill="1" applyBorder="1">
      <alignment/>
      <protection/>
    </xf>
    <xf numFmtId="180" fontId="2" fillId="0" borderId="11" xfId="34" applyNumberFormat="1" applyFont="1" applyFill="1" applyBorder="1">
      <alignment/>
      <protection/>
    </xf>
    <xf numFmtId="180" fontId="2" fillId="0" borderId="49" xfId="34" applyNumberFormat="1" applyFont="1" applyFill="1" applyBorder="1">
      <alignment/>
      <protection/>
    </xf>
    <xf numFmtId="180" fontId="2" fillId="0" borderId="10" xfId="34" applyNumberFormat="1" applyFont="1" applyFill="1" applyBorder="1">
      <alignment/>
      <protection/>
    </xf>
    <xf numFmtId="49" fontId="2" fillId="0" borderId="47" xfId="34" applyNumberFormat="1" applyFont="1" applyBorder="1" applyAlignment="1">
      <alignment horizontal="center"/>
      <protection/>
    </xf>
    <xf numFmtId="49" fontId="2" fillId="0" borderId="50" xfId="34" applyNumberFormat="1" applyFont="1" applyBorder="1" applyAlignment="1">
      <alignment horizontal="center"/>
      <protection/>
    </xf>
    <xf numFmtId="49" fontId="2" fillId="0" borderId="33" xfId="34" applyNumberFormat="1" applyFont="1" applyBorder="1" applyAlignment="1">
      <alignment horizontal="center"/>
      <protection/>
    </xf>
    <xf numFmtId="49" fontId="2" fillId="0" borderId="51" xfId="34" applyNumberFormat="1" applyFont="1" applyBorder="1" applyAlignment="1">
      <alignment horizontal="center"/>
      <protection/>
    </xf>
    <xf numFmtId="180" fontId="2" fillId="0" borderId="37" xfId="34" applyNumberFormat="1" applyFont="1" applyBorder="1">
      <alignment/>
      <protection/>
    </xf>
    <xf numFmtId="180" fontId="4" fillId="0" borderId="24" xfId="0" applyNumberFormat="1" applyFont="1" applyFill="1" applyBorder="1" applyAlignment="1">
      <alignment horizontal="center" vertical="center"/>
    </xf>
    <xf numFmtId="180" fontId="2" fillId="0" borderId="33" xfId="34" applyNumberFormat="1" applyFont="1" applyBorder="1" applyAlignment="1">
      <alignment horizontal="center" vertical="center" wrapText="1"/>
      <protection/>
    </xf>
    <xf numFmtId="180" fontId="2" fillId="0" borderId="52" xfId="34" applyNumberFormat="1" applyFont="1" applyBorder="1" applyAlignment="1">
      <alignment horizontal="center" vertical="center" wrapText="1"/>
      <protection/>
    </xf>
    <xf numFmtId="180" fontId="2" fillId="0" borderId="10" xfId="34" applyNumberFormat="1" applyFont="1" applyBorder="1">
      <alignment/>
      <protection/>
    </xf>
    <xf numFmtId="180" fontId="2" fillId="0" borderId="47" xfId="34" applyNumberFormat="1" applyFont="1" applyBorder="1">
      <alignment/>
      <protection/>
    </xf>
    <xf numFmtId="180" fontId="2" fillId="0" borderId="11" xfId="34" applyNumberFormat="1" applyFont="1" applyBorder="1">
      <alignment/>
      <protection/>
    </xf>
    <xf numFmtId="0" fontId="10" fillId="0" borderId="27" xfId="34" applyFont="1" applyBorder="1">
      <alignment/>
      <protection/>
    </xf>
    <xf numFmtId="0" fontId="2" fillId="0" borderId="33" xfId="3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180" fontId="14" fillId="0" borderId="21" xfId="34" applyNumberFormat="1" applyFont="1" applyBorder="1" applyAlignment="1">
      <alignment horizontal="center" vertical="center" wrapText="1"/>
      <protection/>
    </xf>
    <xf numFmtId="180" fontId="14" fillId="0" borderId="33" xfId="34" applyNumberFormat="1" applyFont="1" applyBorder="1" applyAlignment="1">
      <alignment horizontal="center" vertical="center" wrapText="1"/>
      <protection/>
    </xf>
    <xf numFmtId="180" fontId="14" fillId="0" borderId="52" xfId="34" applyNumberFormat="1" applyFont="1" applyBorder="1" applyAlignment="1">
      <alignment horizontal="center" vertical="center" wrapText="1"/>
      <protection/>
    </xf>
    <xf numFmtId="0" fontId="10" fillId="0" borderId="24" xfId="34" applyFont="1" applyBorder="1">
      <alignment/>
      <protection/>
    </xf>
    <xf numFmtId="0" fontId="10" fillId="0" borderId="31" xfId="34" applyFont="1" applyBorder="1">
      <alignment/>
      <protection/>
    </xf>
    <xf numFmtId="0" fontId="10" fillId="0" borderId="43" xfId="34" applyFont="1" applyBorder="1">
      <alignment/>
      <protection/>
    </xf>
    <xf numFmtId="0" fontId="10" fillId="0" borderId="16" xfId="34" applyFont="1" applyBorder="1">
      <alignment/>
      <protection/>
    </xf>
    <xf numFmtId="0" fontId="10" fillId="0" borderId="40" xfId="34" applyFont="1" applyBorder="1">
      <alignment/>
      <protection/>
    </xf>
    <xf numFmtId="0" fontId="24" fillId="0" borderId="24" xfId="34" applyFont="1" applyFill="1" applyBorder="1" applyAlignment="1">
      <alignment wrapText="1"/>
      <protection/>
    </xf>
    <xf numFmtId="0" fontId="17" fillId="0" borderId="16" xfId="34" applyFont="1" applyBorder="1">
      <alignment/>
      <protection/>
    </xf>
    <xf numFmtId="180" fontId="5" fillId="12" borderId="16" xfId="33" applyNumberFormat="1" applyFont="1" applyFill="1" applyBorder="1" applyAlignment="1">
      <alignment horizontal="center" vertical="center" wrapText="1"/>
      <protection/>
    </xf>
    <xf numFmtId="180" fontId="4" fillId="0" borderId="53" xfId="33" applyNumberFormat="1" applyFont="1" applyFill="1" applyBorder="1" applyAlignment="1">
      <alignment horizontal="center" vertical="center"/>
      <protection/>
    </xf>
    <xf numFmtId="180" fontId="4" fillId="0" borderId="51" xfId="33" applyNumberFormat="1" applyFont="1" applyFill="1" applyBorder="1" applyAlignment="1">
      <alignment horizontal="center" vertical="center"/>
      <protection/>
    </xf>
    <xf numFmtId="180" fontId="7" fillId="0" borderId="0" xfId="33" applyNumberFormat="1" applyFont="1" applyFill="1" applyBorder="1" applyAlignment="1">
      <alignment horizontal="left"/>
      <protection/>
    </xf>
    <xf numFmtId="49" fontId="4" fillId="0" borderId="16" xfId="33" applyNumberFormat="1" applyFont="1" applyFill="1" applyBorder="1" applyAlignment="1">
      <alignment horizontal="center" vertical="center"/>
      <protection/>
    </xf>
    <xf numFmtId="1" fontId="4" fillId="0" borderId="12" xfId="33" applyNumberFormat="1" applyFont="1" applyFill="1" applyBorder="1" applyAlignment="1">
      <alignment horizontal="center" vertical="center" wrapText="1"/>
      <protection/>
    </xf>
    <xf numFmtId="1" fontId="4" fillId="0" borderId="15" xfId="0" applyNumberFormat="1" applyFont="1" applyFill="1" applyBorder="1" applyAlignment="1">
      <alignment horizontal="center" vertical="center" wrapText="1"/>
    </xf>
    <xf numFmtId="180" fontId="4" fillId="0" borderId="33" xfId="0" applyNumberFormat="1" applyFont="1" applyFill="1" applyBorder="1" applyAlignment="1">
      <alignment horizontal="center" vertical="center"/>
    </xf>
    <xf numFmtId="1" fontId="4" fillId="12" borderId="16" xfId="33" applyNumberFormat="1" applyFont="1" applyFill="1" applyBorder="1" applyAlignment="1">
      <alignment horizontal="center" vertical="center" wrapText="1"/>
      <protection/>
    </xf>
    <xf numFmtId="2" fontId="4" fillId="12" borderId="16" xfId="33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center" vertical="center"/>
    </xf>
    <xf numFmtId="0" fontId="9" fillId="0" borderId="50" xfId="34" applyFont="1" applyFill="1" applyBorder="1">
      <alignment/>
      <protection/>
    </xf>
    <xf numFmtId="0" fontId="10" fillId="0" borderId="28" xfId="34" applyFont="1" applyFill="1" applyBorder="1">
      <alignment/>
      <protection/>
    </xf>
    <xf numFmtId="0" fontId="10" fillId="0" borderId="54" xfId="34" applyFont="1" applyFill="1" applyBorder="1">
      <alignment/>
      <protection/>
    </xf>
    <xf numFmtId="0" fontId="19" fillId="0" borderId="19" xfId="34" applyFont="1" applyFill="1" applyBorder="1">
      <alignment/>
      <protection/>
    </xf>
    <xf numFmtId="0" fontId="8" fillId="0" borderId="50" xfId="34" applyFont="1" applyFill="1" applyBorder="1">
      <alignment/>
      <protection/>
    </xf>
    <xf numFmtId="0" fontId="10" fillId="0" borderId="51" xfId="34" applyFont="1" applyFill="1" applyBorder="1">
      <alignment/>
      <protection/>
    </xf>
    <xf numFmtId="0" fontId="10" fillId="0" borderId="19" xfId="34" applyFont="1" applyFill="1" applyBorder="1">
      <alignment/>
      <protection/>
    </xf>
    <xf numFmtId="180" fontId="22" fillId="0" borderId="24" xfId="34" applyNumberFormat="1" applyFont="1" applyFill="1" applyBorder="1">
      <alignment/>
      <protection/>
    </xf>
    <xf numFmtId="180" fontId="16" fillId="0" borderId="27" xfId="34" applyNumberFormat="1" applyFont="1" applyFill="1" applyBorder="1">
      <alignment/>
      <protection/>
    </xf>
    <xf numFmtId="180" fontId="14" fillId="0" borderId="27" xfId="34" applyNumberFormat="1" applyFont="1" applyFill="1" applyBorder="1">
      <alignment/>
      <protection/>
    </xf>
    <xf numFmtId="180" fontId="2" fillId="0" borderId="43" xfId="34" applyNumberFormat="1" applyFont="1" applyFill="1" applyBorder="1">
      <alignment/>
      <protection/>
    </xf>
    <xf numFmtId="0" fontId="2" fillId="0" borderId="33" xfId="0" applyFont="1" applyFill="1" applyBorder="1" applyAlignment="1">
      <alignment horizontal="center"/>
    </xf>
    <xf numFmtId="180" fontId="5" fillId="0" borderId="0" xfId="0" applyNumberFormat="1" applyFont="1" applyFill="1" applyAlignment="1">
      <alignment vertical="center"/>
    </xf>
    <xf numFmtId="180" fontId="11" fillId="0" borderId="0" xfId="0" applyNumberFormat="1" applyFont="1" applyAlignment="1">
      <alignment vertical="center"/>
    </xf>
    <xf numFmtId="180" fontId="4" fillId="33" borderId="24" xfId="33" applyNumberFormat="1" applyFont="1" applyFill="1" applyBorder="1" applyAlignment="1">
      <alignment horizontal="center" vertical="center" wrapText="1"/>
      <protection/>
    </xf>
    <xf numFmtId="180" fontId="4" fillId="33" borderId="33" xfId="33" applyNumberFormat="1" applyFont="1" applyFill="1" applyBorder="1" applyAlignment="1">
      <alignment horizontal="center" vertical="center" wrapText="1"/>
      <protection/>
    </xf>
    <xf numFmtId="180" fontId="5" fillId="34" borderId="22" xfId="33" applyNumberFormat="1" applyFont="1" applyFill="1" applyBorder="1" applyAlignment="1">
      <alignment horizontal="center" wrapText="1"/>
      <protection/>
    </xf>
    <xf numFmtId="180" fontId="4" fillId="0" borderId="17" xfId="33" applyNumberFormat="1" applyFont="1" applyFill="1" applyBorder="1" applyAlignment="1">
      <alignment horizontal="center"/>
      <protection/>
    </xf>
    <xf numFmtId="180" fontId="4" fillId="0" borderId="39" xfId="33" applyNumberFormat="1" applyFont="1" applyFill="1" applyBorder="1" applyAlignment="1">
      <alignment horizontal="center"/>
      <protection/>
    </xf>
    <xf numFmtId="180" fontId="4" fillId="0" borderId="37" xfId="33" applyNumberFormat="1" applyFont="1" applyFill="1" applyBorder="1" applyAlignment="1">
      <alignment horizontal="center"/>
      <protection/>
    </xf>
    <xf numFmtId="180" fontId="4" fillId="0" borderId="39" xfId="0" applyNumberFormat="1" applyFont="1" applyFill="1" applyBorder="1" applyAlignment="1">
      <alignment horizontal="center"/>
    </xf>
    <xf numFmtId="180" fontId="4" fillId="0" borderId="18" xfId="33" applyNumberFormat="1" applyFont="1" applyFill="1" applyBorder="1" applyAlignment="1">
      <alignment horizontal="center"/>
      <protection/>
    </xf>
    <xf numFmtId="180" fontId="4" fillId="0" borderId="38" xfId="33" applyNumberFormat="1" applyFont="1" applyFill="1" applyBorder="1" applyAlignment="1">
      <alignment horizontal="center"/>
      <protection/>
    </xf>
    <xf numFmtId="180" fontId="4" fillId="0" borderId="55" xfId="33" applyNumberFormat="1" applyFont="1" applyFill="1" applyBorder="1" applyAlignment="1">
      <alignment horizontal="center"/>
      <protection/>
    </xf>
    <xf numFmtId="180" fontId="4" fillId="0" borderId="56" xfId="33" applyNumberFormat="1" applyFont="1" applyFill="1" applyBorder="1" applyAlignment="1">
      <alignment horizontal="center"/>
      <protection/>
    </xf>
    <xf numFmtId="180" fontId="4" fillId="0" borderId="57" xfId="33" applyNumberFormat="1" applyFont="1" applyFill="1" applyBorder="1" applyAlignment="1">
      <alignment horizontal="center"/>
      <protection/>
    </xf>
    <xf numFmtId="180" fontId="4" fillId="0" borderId="58" xfId="33" applyNumberFormat="1" applyFont="1" applyFill="1" applyBorder="1" applyAlignment="1">
      <alignment horizontal="center"/>
      <protection/>
    </xf>
    <xf numFmtId="180" fontId="4" fillId="0" borderId="5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38" xfId="0" applyNumberFormat="1" applyFont="1" applyFill="1" applyBorder="1" applyAlignment="1">
      <alignment horizontal="center"/>
    </xf>
    <xf numFmtId="180" fontId="4" fillId="0" borderId="53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8" fillId="0" borderId="17" xfId="33" applyNumberFormat="1" applyFont="1" applyFill="1" applyBorder="1" applyAlignment="1">
      <alignment horizontal="center" vertical="center"/>
      <protection/>
    </xf>
    <xf numFmtId="1" fontId="4" fillId="0" borderId="53" xfId="0" applyNumberFormat="1" applyFont="1" applyFill="1" applyBorder="1" applyAlignment="1">
      <alignment horizontal="center"/>
    </xf>
    <xf numFmtId="180" fontId="8" fillId="0" borderId="37" xfId="33" applyNumberFormat="1" applyFont="1" applyFill="1" applyBorder="1" applyAlignment="1">
      <alignment horizontal="center" vertical="center"/>
      <protection/>
    </xf>
    <xf numFmtId="1" fontId="4" fillId="0" borderId="17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80" fontId="4" fillId="0" borderId="59" xfId="33" applyNumberFormat="1" applyFont="1" applyFill="1" applyBorder="1" applyAlignment="1">
      <alignment horizontal="center"/>
      <protection/>
    </xf>
    <xf numFmtId="180" fontId="4" fillId="33" borderId="18" xfId="33" applyNumberFormat="1" applyFont="1" applyFill="1" applyBorder="1" applyAlignment="1">
      <alignment horizontal="center"/>
      <protection/>
    </xf>
    <xf numFmtId="180" fontId="4" fillId="33" borderId="38" xfId="33" applyNumberFormat="1" applyFont="1" applyFill="1" applyBorder="1" applyAlignment="1">
      <alignment horizontal="center"/>
      <protection/>
    </xf>
    <xf numFmtId="180" fontId="4" fillId="0" borderId="0" xfId="0" applyNumberFormat="1" applyFont="1" applyFill="1" applyAlignment="1">
      <alignment horizontal="center"/>
    </xf>
    <xf numFmtId="180" fontId="4" fillId="0" borderId="53" xfId="33" applyNumberFormat="1" applyFont="1" applyFill="1" applyBorder="1" applyAlignment="1">
      <alignment horizontal="center"/>
      <protection/>
    </xf>
    <xf numFmtId="180" fontId="4" fillId="0" borderId="60" xfId="33" applyNumberFormat="1" applyFont="1" applyFill="1" applyBorder="1" applyAlignment="1">
      <alignment horizontal="center"/>
      <protection/>
    </xf>
    <xf numFmtId="180" fontId="4" fillId="33" borderId="37" xfId="33" applyNumberFormat="1" applyFont="1" applyFill="1" applyBorder="1" applyAlignment="1">
      <alignment horizontal="center"/>
      <protection/>
    </xf>
    <xf numFmtId="180" fontId="4" fillId="33" borderId="32" xfId="33" applyNumberFormat="1" applyFont="1" applyFill="1" applyBorder="1" applyAlignment="1">
      <alignment horizontal="center"/>
      <protection/>
    </xf>
    <xf numFmtId="180" fontId="4" fillId="0" borderId="60" xfId="0" applyNumberFormat="1" applyFont="1" applyFill="1" applyBorder="1" applyAlignment="1">
      <alignment horizontal="center"/>
    </xf>
    <xf numFmtId="180" fontId="4" fillId="0" borderId="55" xfId="0" applyNumberFormat="1" applyFont="1" applyFill="1" applyBorder="1" applyAlignment="1">
      <alignment horizontal="center"/>
    </xf>
    <xf numFmtId="180" fontId="4" fillId="0" borderId="56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top"/>
    </xf>
    <xf numFmtId="180" fontId="0" fillId="35" borderId="0" xfId="0" applyNumberFormat="1" applyFont="1" applyFill="1" applyAlignment="1">
      <alignment/>
    </xf>
    <xf numFmtId="49" fontId="8" fillId="32" borderId="13" xfId="33" applyNumberFormat="1" applyFont="1" applyFill="1" applyBorder="1" applyAlignment="1">
      <alignment horizontal="center" vertical="center"/>
      <protection/>
    </xf>
    <xf numFmtId="180" fontId="8" fillId="0" borderId="18" xfId="33" applyNumberFormat="1" applyFont="1" applyFill="1" applyBorder="1" applyAlignment="1">
      <alignment horizontal="center" vertical="center"/>
      <protection/>
    </xf>
    <xf numFmtId="180" fontId="5" fillId="0" borderId="18" xfId="33" applyNumberFormat="1" applyFont="1" applyFill="1" applyBorder="1" applyAlignment="1">
      <alignment horizontal="center" vertical="center" wrapText="1"/>
      <protection/>
    </xf>
    <xf numFmtId="180" fontId="4" fillId="0" borderId="38" xfId="33" applyNumberFormat="1" applyFont="1" applyFill="1" applyBorder="1" applyAlignment="1">
      <alignment horizontal="center" vertical="center"/>
      <protection/>
    </xf>
    <xf numFmtId="180" fontId="4" fillId="0" borderId="24" xfId="33" applyNumberFormat="1" applyFont="1" applyFill="1" applyBorder="1" applyAlignment="1">
      <alignment horizontal="center" vertical="center" wrapText="1"/>
      <protection/>
    </xf>
    <xf numFmtId="180" fontId="4" fillId="0" borderId="59" xfId="33" applyNumberFormat="1" applyFont="1" applyFill="1" applyBorder="1" applyAlignment="1">
      <alignment horizontal="center" vertical="center" wrapText="1"/>
      <protection/>
    </xf>
    <xf numFmtId="180" fontId="5" fillId="0" borderId="24" xfId="33" applyNumberFormat="1" applyFont="1" applyFill="1" applyBorder="1" applyAlignment="1">
      <alignment horizontal="center" vertical="center" wrapText="1"/>
      <protection/>
    </xf>
    <xf numFmtId="180" fontId="4" fillId="0" borderId="27" xfId="33" applyNumberFormat="1" applyFont="1" applyFill="1" applyBorder="1" applyAlignment="1">
      <alignment horizontal="center" vertical="center" wrapText="1"/>
      <protection/>
    </xf>
    <xf numFmtId="180" fontId="5" fillId="0" borderId="27" xfId="33" applyNumberFormat="1" applyFont="1" applyFill="1" applyBorder="1" applyAlignment="1">
      <alignment horizontal="center" vertical="center" wrapText="1"/>
      <protection/>
    </xf>
    <xf numFmtId="180" fontId="4" fillId="35" borderId="18" xfId="3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80" fontId="26" fillId="0" borderId="0" xfId="33" applyNumberFormat="1" applyFont="1" applyFill="1" applyAlignment="1">
      <alignment/>
      <protection/>
    </xf>
    <xf numFmtId="180" fontId="26" fillId="0" borderId="0" xfId="33" applyNumberFormat="1" applyFont="1" applyFill="1">
      <alignment/>
      <protection/>
    </xf>
    <xf numFmtId="180" fontId="26" fillId="0" borderId="0" xfId="0" applyNumberFormat="1" applyFont="1" applyFill="1" applyAlignment="1">
      <alignment/>
    </xf>
    <xf numFmtId="180" fontId="3" fillId="0" borderId="16" xfId="33" applyNumberFormat="1" applyFont="1" applyFill="1" applyBorder="1" applyAlignment="1">
      <alignment horizontal="center" vertical="center" wrapText="1"/>
      <protection/>
    </xf>
    <xf numFmtId="180" fontId="27" fillId="34" borderId="12" xfId="33" applyNumberFormat="1" applyFont="1" applyFill="1" applyBorder="1" applyAlignment="1">
      <alignment horizontal="center" vertical="center" textRotation="90" wrapText="1"/>
      <protection/>
    </xf>
    <xf numFmtId="180" fontId="3" fillId="12" borderId="12" xfId="33" applyNumberFormat="1" applyFont="1" applyFill="1" applyBorder="1" applyAlignment="1">
      <alignment horizontal="center" vertical="center" textRotation="90" wrapText="1"/>
      <protection/>
    </xf>
    <xf numFmtId="180" fontId="3" fillId="12" borderId="20" xfId="33" applyNumberFormat="1" applyFont="1" applyFill="1" applyBorder="1" applyAlignment="1">
      <alignment horizontal="center" vertical="center" textRotation="90" wrapText="1"/>
      <protection/>
    </xf>
    <xf numFmtId="180" fontId="25" fillId="12" borderId="16" xfId="33" applyNumberFormat="1" applyFont="1" applyFill="1" applyBorder="1" applyAlignment="1">
      <alignment horizontal="center" vertical="center" wrapText="1"/>
      <protection/>
    </xf>
    <xf numFmtId="1" fontId="25" fillId="0" borderId="12" xfId="33" applyNumberFormat="1" applyFont="1" applyFill="1" applyBorder="1" applyAlignment="1">
      <alignment horizontal="center" vertical="center"/>
      <protection/>
    </xf>
    <xf numFmtId="1" fontId="25" fillId="0" borderId="13" xfId="33" applyNumberFormat="1" applyFont="1" applyFill="1" applyBorder="1" applyAlignment="1">
      <alignment horizontal="center" vertical="center"/>
      <protection/>
    </xf>
    <xf numFmtId="49" fontId="25" fillId="0" borderId="13" xfId="33" applyNumberFormat="1" applyFont="1" applyFill="1" applyBorder="1" applyAlignment="1">
      <alignment horizontal="center" vertical="center" wrapText="1"/>
      <protection/>
    </xf>
    <xf numFmtId="49" fontId="25" fillId="0" borderId="13" xfId="33" applyNumberFormat="1" applyFont="1" applyFill="1" applyBorder="1" applyAlignment="1">
      <alignment horizontal="center" vertical="center"/>
      <protection/>
    </xf>
    <xf numFmtId="180" fontId="25" fillId="0" borderId="22" xfId="33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Fill="1" applyAlignment="1">
      <alignment horizontal="center" vertical="center"/>
    </xf>
    <xf numFmtId="180" fontId="25" fillId="0" borderId="16" xfId="33" applyNumberFormat="1" applyFont="1" applyFill="1" applyBorder="1">
      <alignment/>
      <protection/>
    </xf>
    <xf numFmtId="180" fontId="25" fillId="0" borderId="12" xfId="33" applyNumberFormat="1" applyFont="1" applyFill="1" applyBorder="1">
      <alignment/>
      <protection/>
    </xf>
    <xf numFmtId="180" fontId="25" fillId="12" borderId="13" xfId="33" applyNumberFormat="1" applyFont="1" applyFill="1" applyBorder="1">
      <alignment/>
      <protection/>
    </xf>
    <xf numFmtId="180" fontId="25" fillId="12" borderId="15" xfId="33" applyNumberFormat="1" applyFont="1" applyFill="1" applyBorder="1" applyAlignment="1">
      <alignment horizontal="center"/>
      <protection/>
    </xf>
    <xf numFmtId="180" fontId="25" fillId="0" borderId="12" xfId="33" applyNumberFormat="1" applyFont="1" applyFill="1" applyBorder="1" applyAlignment="1">
      <alignment horizontal="center"/>
      <protection/>
    </xf>
    <xf numFmtId="180" fontId="25" fillId="0" borderId="13" xfId="33" applyNumberFormat="1" applyFont="1" applyFill="1" applyBorder="1" applyAlignment="1">
      <alignment horizontal="center"/>
      <protection/>
    </xf>
    <xf numFmtId="180" fontId="25" fillId="0" borderId="15" xfId="33" applyNumberFormat="1" applyFont="1" applyFill="1" applyBorder="1" applyAlignment="1">
      <alignment horizontal="center"/>
      <protection/>
    </xf>
    <xf numFmtId="180" fontId="25" fillId="0" borderId="16" xfId="33" applyNumberFormat="1" applyFont="1" applyFill="1" applyBorder="1" applyAlignment="1">
      <alignment horizontal="center"/>
      <protection/>
    </xf>
    <xf numFmtId="180" fontId="25" fillId="0" borderId="0" xfId="0" applyNumberFormat="1" applyFont="1" applyFill="1" applyAlignment="1">
      <alignment/>
    </xf>
    <xf numFmtId="180" fontId="25" fillId="35" borderId="16" xfId="33" applyNumberFormat="1" applyFont="1" applyFill="1" applyBorder="1">
      <alignment/>
      <protection/>
    </xf>
    <xf numFmtId="180" fontId="25" fillId="12" borderId="15" xfId="33" applyNumberFormat="1" applyFont="1" applyFill="1" applyBorder="1">
      <alignment/>
      <protection/>
    </xf>
    <xf numFmtId="180" fontId="28" fillId="0" borderId="0" xfId="0" applyNumberFormat="1" applyFont="1" applyFill="1" applyAlignment="1">
      <alignment/>
    </xf>
    <xf numFmtId="180" fontId="3" fillId="0" borderId="18" xfId="33" applyNumberFormat="1" applyFont="1" applyFill="1" applyBorder="1" applyAlignment="1">
      <alignment horizontal="center"/>
      <protection/>
    </xf>
    <xf numFmtId="180" fontId="3" fillId="0" borderId="0" xfId="0" applyNumberFormat="1" applyFont="1" applyFill="1" applyAlignment="1">
      <alignment/>
    </xf>
    <xf numFmtId="180" fontId="3" fillId="0" borderId="17" xfId="33" applyNumberFormat="1" applyFont="1" applyFill="1" applyBorder="1" applyAlignment="1">
      <alignment horizontal="center"/>
      <protection/>
    </xf>
    <xf numFmtId="180" fontId="3" fillId="0" borderId="55" xfId="33" applyNumberFormat="1" applyFont="1" applyFill="1" applyBorder="1" applyAlignment="1">
      <alignment horizontal="center"/>
      <protection/>
    </xf>
    <xf numFmtId="180" fontId="25" fillId="12" borderId="16" xfId="33" applyNumberFormat="1" applyFont="1" applyFill="1" applyBorder="1" applyAlignment="1">
      <alignment horizontal="center"/>
      <protection/>
    </xf>
    <xf numFmtId="180" fontId="7" fillId="35" borderId="0" xfId="0" applyNumberFormat="1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  <xf numFmtId="49" fontId="8" fillId="32" borderId="14" xfId="33" applyNumberFormat="1" applyFont="1" applyFill="1" applyBorder="1" applyAlignment="1">
      <alignment horizontal="left" vertical="center" wrapText="1"/>
      <protection/>
    </xf>
    <xf numFmtId="49" fontId="8" fillId="32" borderId="13" xfId="33" applyNumberFormat="1" applyFont="1" applyFill="1" applyBorder="1" applyAlignment="1">
      <alignment horizontal="left" vertical="center"/>
      <protection/>
    </xf>
    <xf numFmtId="180" fontId="4" fillId="12" borderId="12" xfId="33" applyNumberFormat="1" applyFont="1" applyFill="1" applyBorder="1" applyAlignment="1">
      <alignment horizontal="left" vertical="center" wrapText="1"/>
      <protection/>
    </xf>
    <xf numFmtId="1" fontId="4" fillId="0" borderId="12" xfId="33" applyNumberFormat="1" applyFont="1" applyFill="1" applyBorder="1" applyAlignment="1">
      <alignment horizontal="left" vertical="center"/>
      <protection/>
    </xf>
    <xf numFmtId="1" fontId="4" fillId="0" borderId="13" xfId="33" applyNumberFormat="1" applyFont="1" applyFill="1" applyBorder="1" applyAlignment="1">
      <alignment horizontal="left" vertical="center"/>
      <protection/>
    </xf>
    <xf numFmtId="49" fontId="4" fillId="0" borderId="13" xfId="33" applyNumberFormat="1" applyFont="1" applyFill="1" applyBorder="1" applyAlignment="1">
      <alignment horizontal="left" vertical="center" wrapText="1"/>
      <protection/>
    </xf>
    <xf numFmtId="49" fontId="4" fillId="0" borderId="13" xfId="33" applyNumberFormat="1" applyFont="1" applyFill="1" applyBorder="1" applyAlignment="1">
      <alignment horizontal="left" vertical="center"/>
      <protection/>
    </xf>
    <xf numFmtId="1" fontId="4" fillId="12" borderId="12" xfId="33" applyNumberFormat="1" applyFont="1" applyFill="1" applyBorder="1" applyAlignment="1">
      <alignment horizontal="left" vertical="center"/>
      <protection/>
    </xf>
    <xf numFmtId="1" fontId="4" fillId="12" borderId="13" xfId="33" applyNumberFormat="1" applyFont="1" applyFill="1" applyBorder="1" applyAlignment="1">
      <alignment horizontal="left" vertical="center"/>
      <protection/>
    </xf>
    <xf numFmtId="49" fontId="4" fillId="12" borderId="13" xfId="33" applyNumberFormat="1" applyFont="1" applyFill="1" applyBorder="1" applyAlignment="1">
      <alignment horizontal="left" vertical="center" wrapText="1"/>
      <protection/>
    </xf>
    <xf numFmtId="49" fontId="4" fillId="12" borderId="13" xfId="33" applyNumberFormat="1" applyFont="1" applyFill="1" applyBorder="1" applyAlignment="1">
      <alignment horizontal="left" vertical="center"/>
      <protection/>
    </xf>
    <xf numFmtId="2" fontId="4" fillId="12" borderId="14" xfId="33" applyNumberFormat="1" applyFont="1" applyFill="1" applyBorder="1" applyAlignment="1">
      <alignment horizontal="left" vertical="center" wrapText="1"/>
      <protection/>
    </xf>
    <xf numFmtId="180" fontId="5" fillId="12" borderId="13" xfId="33" applyNumberFormat="1" applyFont="1" applyFill="1" applyBorder="1" applyAlignment="1">
      <alignment horizontal="left" vertical="center" wrapText="1"/>
      <protection/>
    </xf>
    <xf numFmtId="180" fontId="4" fillId="36" borderId="12" xfId="33" applyNumberFormat="1" applyFont="1" applyFill="1" applyBorder="1" applyAlignment="1">
      <alignment horizontal="left" vertical="center" wrapText="1"/>
      <protection/>
    </xf>
    <xf numFmtId="180" fontId="4" fillId="35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left" vertical="center"/>
    </xf>
    <xf numFmtId="180" fontId="4" fillId="35" borderId="24" xfId="33" applyNumberFormat="1" applyFont="1" applyFill="1" applyBorder="1" applyAlignment="1">
      <alignment horizontal="left" vertical="center"/>
      <protection/>
    </xf>
    <xf numFmtId="180" fontId="4" fillId="35" borderId="61" xfId="33" applyNumberFormat="1" applyFont="1" applyFill="1" applyBorder="1" applyAlignment="1">
      <alignment horizontal="left" vertical="center"/>
      <protection/>
    </xf>
    <xf numFmtId="180" fontId="4" fillId="35" borderId="18" xfId="33" applyNumberFormat="1" applyFont="1" applyFill="1" applyBorder="1" applyAlignment="1">
      <alignment horizontal="left" vertical="center"/>
      <protection/>
    </xf>
    <xf numFmtId="180" fontId="2" fillId="35" borderId="18" xfId="33" applyNumberFormat="1" applyFont="1" applyFill="1" applyBorder="1" applyAlignment="1">
      <alignment horizontal="left" vertical="center"/>
      <protection/>
    </xf>
    <xf numFmtId="180" fontId="4" fillId="35" borderId="59" xfId="33" applyNumberFormat="1" applyFont="1" applyFill="1" applyBorder="1" applyAlignment="1">
      <alignment horizontal="left" vertical="center"/>
      <protection/>
    </xf>
    <xf numFmtId="180" fontId="4" fillId="35" borderId="17" xfId="33" applyNumberFormat="1" applyFont="1" applyFill="1" applyBorder="1" applyAlignment="1">
      <alignment horizontal="left" vertical="center"/>
      <protection/>
    </xf>
    <xf numFmtId="1" fontId="4" fillId="35" borderId="18" xfId="33" applyNumberFormat="1" applyFont="1" applyFill="1" applyBorder="1" applyAlignment="1">
      <alignment horizontal="left" vertical="center"/>
      <protection/>
    </xf>
    <xf numFmtId="180" fontId="4" fillId="35" borderId="53" xfId="33" applyNumberFormat="1" applyFont="1" applyFill="1" applyBorder="1" applyAlignment="1">
      <alignment horizontal="left" vertical="center"/>
      <protection/>
    </xf>
    <xf numFmtId="1" fontId="4" fillId="35" borderId="17" xfId="33" applyNumberFormat="1" applyFont="1" applyFill="1" applyBorder="1" applyAlignment="1">
      <alignment horizontal="left" vertical="center"/>
      <protection/>
    </xf>
    <xf numFmtId="180" fontId="4" fillId="35" borderId="57" xfId="33" applyNumberFormat="1" applyFont="1" applyFill="1" applyBorder="1" applyAlignment="1">
      <alignment horizontal="left" vertical="center"/>
      <protection/>
    </xf>
    <xf numFmtId="180" fontId="4" fillId="35" borderId="62" xfId="33" applyNumberFormat="1" applyFont="1" applyFill="1" applyBorder="1" applyAlignment="1">
      <alignment horizontal="left" vertical="center"/>
      <protection/>
    </xf>
    <xf numFmtId="180" fontId="4" fillId="35" borderId="55" xfId="33" applyNumberFormat="1" applyFont="1" applyFill="1" applyBorder="1" applyAlignment="1">
      <alignment horizontal="left" vertical="center"/>
      <protection/>
    </xf>
    <xf numFmtId="180" fontId="4" fillId="35" borderId="37" xfId="33" applyNumberFormat="1" applyFont="1" applyFill="1" applyBorder="1" applyAlignment="1">
      <alignment horizontal="left" vertical="center"/>
      <protection/>
    </xf>
    <xf numFmtId="180" fontId="4" fillId="35" borderId="60" xfId="33" applyNumberFormat="1" applyFont="1" applyFill="1" applyBorder="1" applyAlignment="1">
      <alignment horizontal="left" vertical="center"/>
      <protection/>
    </xf>
    <xf numFmtId="1" fontId="4" fillId="35" borderId="55" xfId="33" applyNumberFormat="1" applyFont="1" applyFill="1" applyBorder="1" applyAlignment="1">
      <alignment horizontal="left" vertical="center"/>
      <protection/>
    </xf>
    <xf numFmtId="180" fontId="5" fillId="35" borderId="16" xfId="33" applyNumberFormat="1" applyFont="1" applyFill="1" applyBorder="1" applyAlignment="1">
      <alignment horizontal="left" vertical="center"/>
      <protection/>
    </xf>
    <xf numFmtId="180" fontId="5" fillId="35" borderId="14" xfId="33" applyNumberFormat="1" applyFont="1" applyFill="1" applyBorder="1" applyAlignment="1">
      <alignment horizontal="left" vertical="center"/>
      <protection/>
    </xf>
    <xf numFmtId="1" fontId="5" fillId="35" borderId="14" xfId="33" applyNumberFormat="1" applyFont="1" applyFill="1" applyBorder="1" applyAlignment="1">
      <alignment horizontal="left" vertical="center"/>
      <protection/>
    </xf>
    <xf numFmtId="180" fontId="5" fillId="35" borderId="0" xfId="0" applyNumberFormat="1" applyFont="1" applyFill="1" applyAlignment="1">
      <alignment horizontal="left" vertical="center"/>
    </xf>
    <xf numFmtId="0" fontId="4" fillId="35" borderId="27" xfId="33" applyNumberFormat="1" applyFont="1" applyFill="1" applyBorder="1" applyAlignment="1">
      <alignment horizontal="left" vertical="center"/>
      <protection/>
    </xf>
    <xf numFmtId="180" fontId="4" fillId="35" borderId="27" xfId="33" applyNumberFormat="1" applyFont="1" applyFill="1" applyBorder="1" applyAlignment="1">
      <alignment horizontal="left" vertical="center"/>
      <protection/>
    </xf>
    <xf numFmtId="180" fontId="85" fillId="0" borderId="0" xfId="0" applyNumberFormat="1" applyFont="1" applyAlignment="1">
      <alignment horizontal="left" vertical="center"/>
    </xf>
    <xf numFmtId="1" fontId="85" fillId="0" borderId="0" xfId="0" applyNumberFormat="1" applyFont="1" applyAlignment="1">
      <alignment horizontal="left" vertical="center"/>
    </xf>
    <xf numFmtId="2" fontId="85" fillId="0" borderId="0" xfId="0" applyNumberFormat="1" applyFont="1" applyAlignment="1">
      <alignment horizontal="left" vertical="center"/>
    </xf>
    <xf numFmtId="180" fontId="85" fillId="35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80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180" fontId="0" fillId="35" borderId="0" xfId="0" applyNumberFormat="1" applyFont="1" applyFill="1" applyAlignment="1">
      <alignment horizontal="left" vertical="center"/>
    </xf>
    <xf numFmtId="0" fontId="25" fillId="0" borderId="0" xfId="0" applyFont="1" applyAlignment="1">
      <alignment/>
    </xf>
    <xf numFmtId="180" fontId="29" fillId="0" borderId="0" xfId="33" applyNumberFormat="1" applyFont="1" applyFill="1">
      <alignment/>
      <protection/>
    </xf>
    <xf numFmtId="1" fontId="25" fillId="0" borderId="13" xfId="33" applyNumberFormat="1" applyFont="1" applyFill="1" applyBorder="1" applyAlignment="1">
      <alignment horizontal="center" vertical="center" wrapText="1"/>
      <protection/>
    </xf>
    <xf numFmtId="180" fontId="25" fillId="0" borderId="16" xfId="33" applyNumberFormat="1" applyFont="1" applyFill="1" applyBorder="1" applyAlignment="1">
      <alignment horizontal="center" vertical="center" wrapText="1"/>
      <protection/>
    </xf>
    <xf numFmtId="2" fontId="29" fillId="0" borderId="0" xfId="33" applyNumberFormat="1" applyFont="1" applyFill="1">
      <alignment/>
      <protection/>
    </xf>
    <xf numFmtId="2" fontId="25" fillId="0" borderId="22" xfId="33" applyNumberFormat="1" applyFont="1" applyFill="1" applyBorder="1" applyAlignment="1">
      <alignment horizontal="center" vertical="center" wrapText="1"/>
      <protection/>
    </xf>
    <xf numFmtId="180" fontId="5" fillId="35" borderId="18" xfId="33" applyNumberFormat="1" applyFont="1" applyFill="1" applyBorder="1" applyAlignment="1">
      <alignment horizontal="left" vertical="center"/>
      <protection/>
    </xf>
    <xf numFmtId="180" fontId="5" fillId="35" borderId="37" xfId="33" applyNumberFormat="1" applyFont="1" applyFill="1" applyBorder="1" applyAlignment="1">
      <alignment horizontal="left" vertical="center"/>
      <protection/>
    </xf>
    <xf numFmtId="180" fontId="86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/>
    </xf>
    <xf numFmtId="180" fontId="5" fillId="35" borderId="59" xfId="33" applyNumberFormat="1" applyFont="1" applyFill="1" applyBorder="1" applyAlignment="1">
      <alignment horizontal="left" vertical="center"/>
      <protection/>
    </xf>
    <xf numFmtId="180" fontId="5" fillId="35" borderId="51" xfId="33" applyNumberFormat="1" applyFont="1" applyFill="1" applyBorder="1" applyAlignment="1">
      <alignment horizontal="left" vertical="center"/>
      <protection/>
    </xf>
    <xf numFmtId="180" fontId="5" fillId="12" borderId="12" xfId="33" applyNumberFormat="1" applyFont="1" applyFill="1" applyBorder="1" applyAlignment="1">
      <alignment horizontal="left" vertical="center" wrapText="1"/>
      <protection/>
    </xf>
    <xf numFmtId="180" fontId="5" fillId="12" borderId="19" xfId="33" applyNumberFormat="1" applyFont="1" applyFill="1" applyBorder="1" applyAlignment="1">
      <alignment horizontal="left" vertical="center" wrapText="1"/>
      <protection/>
    </xf>
    <xf numFmtId="180" fontId="5" fillId="35" borderId="42" xfId="33" applyNumberFormat="1" applyFont="1" applyFill="1" applyBorder="1" applyAlignment="1">
      <alignment horizontal="left" vertical="center"/>
      <protection/>
    </xf>
    <xf numFmtId="180" fontId="5" fillId="35" borderId="63" xfId="33" applyNumberFormat="1" applyFont="1" applyFill="1" applyBorder="1" applyAlignment="1">
      <alignment horizontal="left" vertical="center"/>
      <protection/>
    </xf>
    <xf numFmtId="1" fontId="5" fillId="0" borderId="13" xfId="33" applyNumberFormat="1" applyFont="1" applyFill="1" applyBorder="1" applyAlignment="1">
      <alignment horizontal="left" vertical="center" wrapText="1"/>
      <protection/>
    </xf>
    <xf numFmtId="180" fontId="5" fillId="35" borderId="17" xfId="33" applyNumberFormat="1" applyFont="1" applyFill="1" applyBorder="1" applyAlignment="1">
      <alignment horizontal="left" vertical="center"/>
      <protection/>
    </xf>
    <xf numFmtId="180" fontId="5" fillId="35" borderId="55" xfId="33" applyNumberFormat="1" applyFont="1" applyFill="1" applyBorder="1" applyAlignment="1">
      <alignment horizontal="left" vertical="center"/>
      <protection/>
    </xf>
    <xf numFmtId="1" fontId="5" fillId="12" borderId="13" xfId="33" applyNumberFormat="1" applyFont="1" applyFill="1" applyBorder="1" applyAlignment="1">
      <alignment horizontal="left" vertical="center" wrapText="1"/>
      <protection/>
    </xf>
    <xf numFmtId="2" fontId="86" fillId="0" borderId="0" xfId="0" applyNumberFormat="1" applyFont="1" applyAlignment="1">
      <alignment horizontal="left" vertical="center"/>
    </xf>
    <xf numFmtId="2" fontId="30" fillId="0" borderId="0" xfId="0" applyNumberFormat="1" applyFont="1" applyAlignment="1">
      <alignment horizontal="left" vertical="center"/>
    </xf>
    <xf numFmtId="2" fontId="30" fillId="0" borderId="0" xfId="0" applyNumberFormat="1" applyFont="1" applyAlignment="1">
      <alignment/>
    </xf>
    <xf numFmtId="180" fontId="5" fillId="36" borderId="12" xfId="33" applyNumberFormat="1" applyFont="1" applyFill="1" applyBorder="1" applyAlignment="1">
      <alignment horizontal="left" vertical="center" wrapText="1"/>
      <protection/>
    </xf>
    <xf numFmtId="180" fontId="5" fillId="0" borderId="13" xfId="33" applyNumberFormat="1" applyFont="1" applyFill="1" applyBorder="1" applyAlignment="1">
      <alignment horizontal="left" vertical="center" wrapText="1"/>
      <protection/>
    </xf>
    <xf numFmtId="180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1" fillId="0" borderId="0" xfId="0" applyFont="1" applyAlignment="1">
      <alignment/>
    </xf>
    <xf numFmtId="180" fontId="31" fillId="34" borderId="0" xfId="33" applyNumberFormat="1" applyFont="1" applyFill="1">
      <alignment/>
      <protection/>
    </xf>
    <xf numFmtId="180" fontId="31" fillId="34" borderId="0" xfId="0" applyNumberFormat="1" applyFont="1" applyFill="1" applyAlignment="1">
      <alignment/>
    </xf>
    <xf numFmtId="180" fontId="3" fillId="34" borderId="22" xfId="33" applyNumberFormat="1" applyFont="1" applyFill="1" applyBorder="1" applyAlignment="1">
      <alignment horizontal="center" vertical="center" wrapText="1"/>
      <protection/>
    </xf>
    <xf numFmtId="1" fontId="3" fillId="0" borderId="12" xfId="33" applyNumberFormat="1" applyFont="1" applyFill="1" applyBorder="1" applyAlignment="1">
      <alignment horizontal="center" vertical="center"/>
      <protection/>
    </xf>
    <xf numFmtId="1" fontId="3" fillId="0" borderId="13" xfId="33" applyNumberFormat="1" applyFont="1" applyFill="1" applyBorder="1" applyAlignment="1">
      <alignment horizontal="center" vertical="center"/>
      <protection/>
    </xf>
    <xf numFmtId="1" fontId="3" fillId="0" borderId="15" xfId="33" applyNumberFormat="1" applyFont="1" applyFill="1" applyBorder="1" applyAlignment="1">
      <alignment horizontal="center" vertical="center"/>
      <protection/>
    </xf>
    <xf numFmtId="1" fontId="3" fillId="0" borderId="48" xfId="33" applyNumberFormat="1" applyFont="1" applyFill="1" applyBorder="1" applyAlignment="1">
      <alignment horizontal="center" vertical="center"/>
      <protection/>
    </xf>
    <xf numFmtId="1" fontId="3" fillId="0" borderId="16" xfId="33" applyNumberFormat="1" applyFont="1" applyFill="1" applyBorder="1" applyAlignment="1">
      <alignment horizontal="center" vertical="center" wrapText="1"/>
      <protection/>
    </xf>
    <xf numFmtId="1" fontId="3" fillId="0" borderId="20" xfId="33" applyNumberFormat="1" applyFont="1" applyFill="1" applyBorder="1" applyAlignment="1">
      <alignment horizontal="center" vertical="center" wrapText="1"/>
      <protection/>
    </xf>
    <xf numFmtId="49" fontId="3" fillId="0" borderId="13" xfId="33" applyNumberFormat="1" applyFont="1" applyFill="1" applyBorder="1" applyAlignment="1">
      <alignment horizontal="center" vertical="center"/>
      <protection/>
    </xf>
    <xf numFmtId="49" fontId="3" fillId="0" borderId="15" xfId="33" applyNumberFormat="1" applyFont="1" applyFill="1" applyBorder="1" applyAlignment="1">
      <alignment horizontal="center" vertical="center"/>
      <protection/>
    </xf>
    <xf numFmtId="180" fontId="3" fillId="34" borderId="20" xfId="33" applyNumberFormat="1" applyFont="1" applyFill="1" applyBorder="1" applyAlignment="1">
      <alignment horizontal="center" vertical="center" wrapText="1"/>
      <protection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 wrapText="1"/>
    </xf>
    <xf numFmtId="180" fontId="3" fillId="0" borderId="24" xfId="33" applyNumberFormat="1" applyFont="1" applyFill="1" applyBorder="1" applyAlignment="1">
      <alignment horizontal="center"/>
      <protection/>
    </xf>
    <xf numFmtId="180" fontId="3" fillId="0" borderId="11" xfId="33" applyNumberFormat="1" applyFont="1" applyFill="1" applyBorder="1">
      <alignment/>
      <protection/>
    </xf>
    <xf numFmtId="180" fontId="3" fillId="0" borderId="57" xfId="33" applyNumberFormat="1" applyFont="1" applyFill="1" applyBorder="1" applyAlignment="1">
      <alignment horizontal="center"/>
      <protection/>
    </xf>
    <xf numFmtId="1" fontId="3" fillId="0" borderId="17" xfId="33" applyNumberFormat="1" applyFont="1" applyFill="1" applyBorder="1" applyAlignment="1">
      <alignment horizontal="center"/>
      <protection/>
    </xf>
    <xf numFmtId="180" fontId="3" fillId="0" borderId="39" xfId="33" applyNumberFormat="1" applyFont="1" applyFill="1" applyBorder="1" applyAlignment="1">
      <alignment horizontal="center"/>
      <protection/>
    </xf>
    <xf numFmtId="180" fontId="3" fillId="0" borderId="42" xfId="33" applyNumberFormat="1" applyFont="1" applyFill="1" applyBorder="1" applyAlignment="1">
      <alignment horizontal="center"/>
      <protection/>
    </xf>
    <xf numFmtId="180" fontId="3" fillId="0" borderId="26" xfId="33" applyNumberFormat="1" applyFont="1" applyFill="1" applyBorder="1" applyAlignment="1">
      <alignment horizontal="center"/>
      <protection/>
    </xf>
    <xf numFmtId="180" fontId="3" fillId="34" borderId="26" xfId="33" applyNumberFormat="1" applyFont="1" applyFill="1" applyBorder="1" applyAlignment="1">
      <alignment horizontal="center"/>
      <protection/>
    </xf>
    <xf numFmtId="180" fontId="3" fillId="0" borderId="57" xfId="0" applyNumberFormat="1" applyFont="1" applyFill="1" applyBorder="1" applyAlignment="1">
      <alignment horizontal="center"/>
    </xf>
    <xf numFmtId="180" fontId="3" fillId="0" borderId="39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36" xfId="0" applyNumberFormat="1" applyFont="1" applyFill="1" applyBorder="1" applyAlignment="1">
      <alignment horizontal="center"/>
    </xf>
    <xf numFmtId="180" fontId="3" fillId="0" borderId="36" xfId="33" applyNumberFormat="1" applyFont="1" applyFill="1" applyBorder="1" applyAlignment="1">
      <alignment horizontal="center"/>
      <protection/>
    </xf>
    <xf numFmtId="180" fontId="3" fillId="34" borderId="29" xfId="33" applyNumberFormat="1" applyFont="1" applyFill="1" applyBorder="1" applyAlignment="1">
      <alignment horizontal="center"/>
      <protection/>
    </xf>
    <xf numFmtId="180" fontId="27" fillId="0" borderId="21" xfId="33" applyNumberFormat="1" applyFont="1" applyFill="1" applyBorder="1">
      <alignment/>
      <protection/>
    </xf>
    <xf numFmtId="180" fontId="3" fillId="0" borderId="58" xfId="33" applyNumberFormat="1" applyFont="1" applyFill="1" applyBorder="1" applyAlignment="1">
      <alignment horizontal="center"/>
      <protection/>
    </xf>
    <xf numFmtId="180" fontId="3" fillId="0" borderId="37" xfId="33" applyNumberFormat="1" applyFont="1" applyFill="1" applyBorder="1" applyAlignment="1">
      <alignment horizontal="center"/>
      <protection/>
    </xf>
    <xf numFmtId="1" fontId="3" fillId="0" borderId="37" xfId="33" applyNumberFormat="1" applyFont="1" applyFill="1" applyBorder="1" applyAlignment="1">
      <alignment horizontal="center"/>
      <protection/>
    </xf>
    <xf numFmtId="180" fontId="3" fillId="0" borderId="32" xfId="33" applyNumberFormat="1" applyFont="1" applyFill="1" applyBorder="1" applyAlignment="1">
      <alignment horizontal="center"/>
      <protection/>
    </xf>
    <xf numFmtId="180" fontId="3" fillId="0" borderId="63" xfId="33" applyNumberFormat="1" applyFont="1" applyFill="1" applyBorder="1" applyAlignment="1">
      <alignment horizontal="center"/>
      <protection/>
    </xf>
    <xf numFmtId="180" fontId="3" fillId="0" borderId="0" xfId="33" applyNumberFormat="1" applyFont="1" applyFill="1" applyBorder="1" applyAlignment="1">
      <alignment horizontal="center"/>
      <protection/>
    </xf>
    <xf numFmtId="180" fontId="25" fillId="34" borderId="22" xfId="33" applyNumberFormat="1" applyFont="1" applyFill="1" applyBorder="1" applyAlignment="1">
      <alignment wrapText="1"/>
      <protection/>
    </xf>
    <xf numFmtId="180" fontId="25" fillId="0" borderId="14" xfId="33" applyNumberFormat="1" applyFont="1" applyFill="1" applyBorder="1" applyAlignment="1">
      <alignment horizontal="center"/>
      <protection/>
    </xf>
    <xf numFmtId="1" fontId="25" fillId="0" borderId="13" xfId="33" applyNumberFormat="1" applyFont="1" applyFill="1" applyBorder="1" applyAlignment="1">
      <alignment horizontal="center"/>
      <protection/>
    </xf>
    <xf numFmtId="180" fontId="25" fillId="0" borderId="48" xfId="33" applyNumberFormat="1" applyFont="1" applyFill="1" applyBorder="1" applyAlignment="1">
      <alignment horizontal="center"/>
      <protection/>
    </xf>
    <xf numFmtId="1" fontId="25" fillId="0" borderId="15" xfId="33" applyNumberFormat="1" applyFont="1" applyFill="1" applyBorder="1" applyAlignment="1">
      <alignment horizontal="center"/>
      <protection/>
    </xf>
    <xf numFmtId="180" fontId="25" fillId="0" borderId="22" xfId="33" applyNumberFormat="1" applyFont="1" applyFill="1" applyBorder="1" applyAlignment="1">
      <alignment horizontal="center"/>
      <protection/>
    </xf>
    <xf numFmtId="180" fontId="25" fillId="0" borderId="0" xfId="0" applyNumberFormat="1" applyFont="1" applyFill="1" applyBorder="1" applyAlignment="1">
      <alignment/>
    </xf>
    <xf numFmtId="180" fontId="3" fillId="0" borderId="10" xfId="33" applyNumberFormat="1" applyFont="1" applyFill="1" applyBorder="1">
      <alignment/>
      <protection/>
    </xf>
    <xf numFmtId="180" fontId="3" fillId="0" borderId="61" xfId="33" applyNumberFormat="1" applyFont="1" applyFill="1" applyBorder="1" applyAlignment="1">
      <alignment horizontal="center"/>
      <protection/>
    </xf>
    <xf numFmtId="180" fontId="3" fillId="0" borderId="38" xfId="33" applyNumberFormat="1" applyFont="1" applyFill="1" applyBorder="1" applyAlignment="1">
      <alignment horizontal="center"/>
      <protection/>
    </xf>
    <xf numFmtId="180" fontId="3" fillId="0" borderId="62" xfId="33" applyNumberFormat="1" applyFont="1" applyFill="1" applyBorder="1" applyAlignment="1">
      <alignment horizontal="center"/>
      <protection/>
    </xf>
    <xf numFmtId="180" fontId="3" fillId="0" borderId="56" xfId="33" applyNumberFormat="1" applyFont="1" applyFill="1" applyBorder="1" applyAlignment="1">
      <alignment horizontal="center"/>
      <protection/>
    </xf>
    <xf numFmtId="180" fontId="25" fillId="34" borderId="22" xfId="33" applyNumberFormat="1" applyFont="1" applyFill="1" applyBorder="1">
      <alignment/>
      <protection/>
    </xf>
    <xf numFmtId="0" fontId="3" fillId="0" borderId="11" xfId="33" applyNumberFormat="1" applyFont="1" applyFill="1" applyBorder="1">
      <alignment/>
      <protection/>
    </xf>
    <xf numFmtId="180" fontId="3" fillId="0" borderId="49" xfId="33" applyNumberFormat="1" applyFont="1" applyFill="1" applyBorder="1">
      <alignment/>
      <protection/>
    </xf>
    <xf numFmtId="180" fontId="25" fillId="0" borderId="22" xfId="33" applyNumberFormat="1" applyFont="1" applyFill="1" applyBorder="1">
      <alignment/>
      <protection/>
    </xf>
    <xf numFmtId="180" fontId="25" fillId="0" borderId="20" xfId="33" applyNumberFormat="1" applyFont="1" applyFill="1" applyBorder="1" applyAlignment="1">
      <alignment horizontal="center"/>
      <protection/>
    </xf>
    <xf numFmtId="180" fontId="3" fillId="0" borderId="33" xfId="33" applyNumberFormat="1" applyFont="1" applyFill="1" applyBorder="1" applyAlignment="1">
      <alignment horizontal="center"/>
      <protection/>
    </xf>
    <xf numFmtId="180" fontId="3" fillId="34" borderId="0" xfId="33" applyNumberFormat="1" applyFont="1" applyFill="1" applyBorder="1" applyAlignment="1">
      <alignment horizontal="center"/>
      <protection/>
    </xf>
    <xf numFmtId="180" fontId="25" fillId="34" borderId="64" xfId="33" applyNumberFormat="1" applyFont="1" applyFill="1" applyBorder="1">
      <alignment/>
      <protection/>
    </xf>
    <xf numFmtId="180" fontId="25" fillId="0" borderId="65" xfId="33" applyNumberFormat="1" applyFont="1" applyFill="1" applyBorder="1" applyAlignment="1">
      <alignment horizontal="center"/>
      <protection/>
    </xf>
    <xf numFmtId="180" fontId="25" fillId="0" borderId="66" xfId="33" applyNumberFormat="1" applyFont="1" applyFill="1" applyBorder="1" applyAlignment="1">
      <alignment horizontal="center"/>
      <protection/>
    </xf>
    <xf numFmtId="180" fontId="25" fillId="0" borderId="67" xfId="33" applyNumberFormat="1" applyFont="1" applyFill="1" applyBorder="1" applyAlignment="1">
      <alignment horizontal="center"/>
      <protection/>
    </xf>
    <xf numFmtId="180" fontId="25" fillId="0" borderId="68" xfId="33" applyNumberFormat="1" applyFont="1" applyFill="1" applyBorder="1" applyAlignment="1">
      <alignment horizontal="center"/>
      <protection/>
    </xf>
    <xf numFmtId="180" fontId="25" fillId="0" borderId="34" xfId="33" applyNumberFormat="1" applyFont="1" applyFill="1" applyBorder="1" applyAlignment="1">
      <alignment horizontal="center"/>
      <protection/>
    </xf>
    <xf numFmtId="180" fontId="25" fillId="0" borderId="23" xfId="33" applyNumberFormat="1" applyFont="1" applyFill="1" applyBorder="1" applyAlignment="1">
      <alignment horizontal="center"/>
      <protection/>
    </xf>
    <xf numFmtId="180" fontId="25" fillId="0" borderId="64" xfId="33" applyNumberFormat="1" applyFont="1" applyFill="1" applyBorder="1" applyAlignment="1">
      <alignment horizontal="center"/>
      <protection/>
    </xf>
    <xf numFmtId="180" fontId="28" fillId="34" borderId="22" xfId="33" applyNumberFormat="1" applyFont="1" applyFill="1" applyBorder="1">
      <alignment/>
      <protection/>
    </xf>
    <xf numFmtId="180" fontId="3" fillId="35" borderId="18" xfId="33" applyNumberFormat="1" applyFont="1" applyFill="1" applyBorder="1" applyAlignment="1">
      <alignment horizontal="center"/>
      <protection/>
    </xf>
    <xf numFmtId="180" fontId="3" fillId="37" borderId="38" xfId="33" applyNumberFormat="1" applyFont="1" applyFill="1" applyBorder="1" applyAlignment="1">
      <alignment horizontal="center"/>
      <protection/>
    </xf>
    <xf numFmtId="180" fontId="3" fillId="0" borderId="18" xfId="33" applyNumberFormat="1" applyFont="1" applyFill="1" applyBorder="1" applyAlignment="1">
      <alignment horizontal="center" vertical="center"/>
      <protection/>
    </xf>
    <xf numFmtId="1" fontId="3" fillId="0" borderId="18" xfId="33" applyNumberFormat="1" applyFont="1" applyFill="1" applyBorder="1" applyAlignment="1">
      <alignment horizontal="center"/>
      <protection/>
    </xf>
    <xf numFmtId="180" fontId="3" fillId="0" borderId="61" xfId="0" applyNumberFormat="1" applyFont="1" applyFill="1" applyBorder="1" applyAlignment="1">
      <alignment horizontal="center"/>
    </xf>
    <xf numFmtId="180" fontId="3" fillId="0" borderId="38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7" xfId="33" applyNumberFormat="1" applyFont="1" applyFill="1" applyBorder="1" applyAlignment="1">
      <alignment horizontal="center" vertical="center"/>
      <protection/>
    </xf>
    <xf numFmtId="180" fontId="3" fillId="35" borderId="17" xfId="33" applyNumberFormat="1" applyFont="1" applyFill="1" applyBorder="1" applyAlignment="1">
      <alignment horizontal="center"/>
      <protection/>
    </xf>
    <xf numFmtId="180" fontId="3" fillId="0" borderId="69" xfId="0" applyNumberFormat="1" applyFont="1" applyFill="1" applyBorder="1" applyAlignment="1">
      <alignment horizontal="center"/>
    </xf>
    <xf numFmtId="180" fontId="3" fillId="0" borderId="42" xfId="0" applyNumberFormat="1" applyFont="1" applyFill="1" applyBorder="1" applyAlignment="1">
      <alignment horizontal="center"/>
    </xf>
    <xf numFmtId="180" fontId="3" fillId="0" borderId="24" xfId="33" applyNumberFormat="1" applyFont="1" applyFill="1" applyBorder="1">
      <alignment/>
      <protection/>
    </xf>
    <xf numFmtId="180" fontId="3" fillId="34" borderId="59" xfId="33" applyNumberFormat="1" applyFont="1" applyFill="1" applyBorder="1">
      <alignment/>
      <protection/>
    </xf>
    <xf numFmtId="180" fontId="3" fillId="12" borderId="18" xfId="33" applyNumberFormat="1" applyFont="1" applyFill="1" applyBorder="1">
      <alignment/>
      <protection/>
    </xf>
    <xf numFmtId="180" fontId="3" fillId="12" borderId="38" xfId="33" applyNumberFormat="1" applyFont="1" applyFill="1" applyBorder="1" applyAlignment="1">
      <alignment horizontal="center"/>
      <protection/>
    </xf>
    <xf numFmtId="180" fontId="25" fillId="12" borderId="24" xfId="33" applyNumberFormat="1" applyFont="1" applyFill="1" applyBorder="1" applyAlignment="1">
      <alignment horizontal="center"/>
      <protection/>
    </xf>
    <xf numFmtId="180" fontId="3" fillId="0" borderId="59" xfId="33" applyNumberFormat="1" applyFont="1" applyFill="1" applyBorder="1" applyAlignment="1">
      <alignment horizontal="center"/>
      <protection/>
    </xf>
    <xf numFmtId="180" fontId="25" fillId="0" borderId="18" xfId="33" applyNumberFormat="1" applyFont="1" applyFill="1" applyBorder="1" applyAlignment="1">
      <alignment horizontal="center"/>
      <protection/>
    </xf>
    <xf numFmtId="2" fontId="25" fillId="0" borderId="38" xfId="33" applyNumberFormat="1" applyFont="1" applyFill="1" applyBorder="1" applyAlignment="1">
      <alignment horizontal="center"/>
      <protection/>
    </xf>
    <xf numFmtId="180" fontId="25" fillId="0" borderId="10" xfId="33" applyNumberFormat="1" applyFont="1" applyFill="1" applyBorder="1" applyAlignment="1">
      <alignment horizontal="center"/>
      <protection/>
    </xf>
    <xf numFmtId="180" fontId="25" fillId="0" borderId="24" xfId="33" applyNumberFormat="1" applyFont="1" applyFill="1" applyBorder="1" applyAlignment="1">
      <alignment horizontal="center"/>
      <protection/>
    </xf>
    <xf numFmtId="180" fontId="3" fillId="34" borderId="53" xfId="33" applyNumberFormat="1" applyFont="1" applyFill="1" applyBorder="1">
      <alignment/>
      <protection/>
    </xf>
    <xf numFmtId="180" fontId="3" fillId="12" borderId="17" xfId="33" applyNumberFormat="1" applyFont="1" applyFill="1" applyBorder="1">
      <alignment/>
      <protection/>
    </xf>
    <xf numFmtId="180" fontId="3" fillId="12" borderId="39" xfId="33" applyNumberFormat="1" applyFont="1" applyFill="1" applyBorder="1" applyAlignment="1">
      <alignment horizontal="center"/>
      <protection/>
    </xf>
    <xf numFmtId="180" fontId="3" fillId="0" borderId="53" xfId="33" applyNumberFormat="1" applyFont="1" applyFill="1" applyBorder="1" applyAlignment="1">
      <alignment horizontal="center"/>
      <protection/>
    </xf>
    <xf numFmtId="2" fontId="3" fillId="12" borderId="17" xfId="33" applyNumberFormat="1" applyFont="1" applyFill="1" applyBorder="1">
      <alignment/>
      <protection/>
    </xf>
    <xf numFmtId="180" fontId="3" fillId="33" borderId="17" xfId="33" applyNumberFormat="1" applyFont="1" applyFill="1" applyBorder="1">
      <alignment/>
      <protection/>
    </xf>
    <xf numFmtId="180" fontId="3" fillId="0" borderId="53" xfId="33" applyNumberFormat="1" applyFont="1" applyFill="1" applyBorder="1">
      <alignment/>
      <protection/>
    </xf>
    <xf numFmtId="180" fontId="3" fillId="33" borderId="39" xfId="33" applyNumberFormat="1" applyFont="1" applyFill="1" applyBorder="1" applyAlignment="1">
      <alignment horizontal="center"/>
      <protection/>
    </xf>
    <xf numFmtId="180" fontId="25" fillId="33" borderId="24" xfId="33" applyNumberFormat="1" applyFont="1" applyFill="1" applyBorder="1" applyAlignment="1">
      <alignment horizontal="center"/>
      <protection/>
    </xf>
    <xf numFmtId="180" fontId="3" fillId="34" borderId="60" xfId="33" applyNumberFormat="1" applyFont="1" applyFill="1" applyBorder="1">
      <alignment/>
      <protection/>
    </xf>
    <xf numFmtId="180" fontId="3" fillId="12" borderId="55" xfId="33" applyNumberFormat="1" applyFont="1" applyFill="1" applyBorder="1">
      <alignment/>
      <protection/>
    </xf>
    <xf numFmtId="180" fontId="3" fillId="12" borderId="56" xfId="33" applyNumberFormat="1" applyFont="1" applyFill="1" applyBorder="1" applyAlignment="1">
      <alignment horizontal="center"/>
      <protection/>
    </xf>
    <xf numFmtId="180" fontId="25" fillId="12" borderId="33" xfId="33" applyNumberFormat="1" applyFont="1" applyFill="1" applyBorder="1" applyAlignment="1">
      <alignment horizontal="center"/>
      <protection/>
    </xf>
    <xf numFmtId="180" fontId="3" fillId="0" borderId="60" xfId="33" applyNumberFormat="1" applyFont="1" applyFill="1" applyBorder="1" applyAlignment="1">
      <alignment horizontal="center"/>
      <protection/>
    </xf>
    <xf numFmtId="180" fontId="25" fillId="0" borderId="37" xfId="33" applyNumberFormat="1" applyFont="1" applyFill="1" applyBorder="1" applyAlignment="1">
      <alignment horizontal="center"/>
      <protection/>
    </xf>
    <xf numFmtId="2" fontId="25" fillId="0" borderId="32" xfId="33" applyNumberFormat="1" applyFont="1" applyFill="1" applyBorder="1" applyAlignment="1">
      <alignment horizontal="center"/>
      <protection/>
    </xf>
    <xf numFmtId="180" fontId="25" fillId="0" borderId="21" xfId="33" applyNumberFormat="1" applyFont="1" applyFill="1" applyBorder="1" applyAlignment="1">
      <alignment horizontal="center"/>
      <protection/>
    </xf>
    <xf numFmtId="180" fontId="25" fillId="0" borderId="33" xfId="33" applyNumberFormat="1" applyFont="1" applyFill="1" applyBorder="1" applyAlignment="1">
      <alignment horizontal="center"/>
      <protection/>
    </xf>
    <xf numFmtId="180" fontId="3" fillId="35" borderId="24" xfId="33" applyNumberFormat="1" applyFont="1" applyFill="1" applyBorder="1">
      <alignment/>
      <protection/>
    </xf>
    <xf numFmtId="0" fontId="3" fillId="35" borderId="27" xfId="33" applyNumberFormat="1" applyFont="1" applyFill="1" applyBorder="1">
      <alignment/>
      <protection/>
    </xf>
    <xf numFmtId="2" fontId="3" fillId="34" borderId="53" xfId="33" applyNumberFormat="1" applyFont="1" applyFill="1" applyBorder="1">
      <alignment/>
      <protection/>
    </xf>
    <xf numFmtId="0" fontId="3" fillId="0" borderId="17" xfId="33" applyNumberFormat="1" applyFont="1" applyFill="1" applyBorder="1" applyAlignment="1">
      <alignment horizontal="center"/>
      <protection/>
    </xf>
    <xf numFmtId="2" fontId="3" fillId="0" borderId="17" xfId="33" applyNumberFormat="1" applyFont="1" applyFill="1" applyBorder="1" applyAlignment="1">
      <alignment horizontal="center"/>
      <protection/>
    </xf>
    <xf numFmtId="180" fontId="25" fillId="0" borderId="17" xfId="33" applyNumberFormat="1" applyFont="1" applyFill="1" applyBorder="1" applyAlignment="1">
      <alignment horizontal="center"/>
      <protection/>
    </xf>
    <xf numFmtId="0" fontId="3" fillId="0" borderId="0" xfId="0" applyNumberFormat="1" applyFont="1" applyFill="1" applyAlignment="1">
      <alignment/>
    </xf>
    <xf numFmtId="180" fontId="3" fillId="35" borderId="27" xfId="33" applyNumberFormat="1" applyFont="1" applyFill="1" applyBorder="1">
      <alignment/>
      <protection/>
    </xf>
    <xf numFmtId="180" fontId="3" fillId="35" borderId="40" xfId="33" applyNumberFormat="1" applyFont="1" applyFill="1" applyBorder="1">
      <alignment/>
      <protection/>
    </xf>
    <xf numFmtId="180" fontId="25" fillId="0" borderId="55" xfId="33" applyNumberFormat="1" applyFont="1" applyFill="1" applyBorder="1" applyAlignment="1">
      <alignment horizontal="center"/>
      <protection/>
    </xf>
    <xf numFmtId="180" fontId="3" fillId="12" borderId="38" xfId="33" applyNumberFormat="1" applyFont="1" applyFill="1" applyBorder="1">
      <alignment/>
      <protection/>
    </xf>
    <xf numFmtId="180" fontId="3" fillId="12" borderId="39" xfId="33" applyNumberFormat="1" applyFont="1" applyFill="1" applyBorder="1">
      <alignment/>
      <protection/>
    </xf>
    <xf numFmtId="180" fontId="3" fillId="12" borderId="56" xfId="33" applyNumberFormat="1" applyFont="1" applyFill="1" applyBorder="1">
      <alignment/>
      <protection/>
    </xf>
    <xf numFmtId="180" fontId="4" fillId="0" borderId="61" xfId="33" applyNumberFormat="1" applyFont="1" applyFill="1" applyBorder="1" applyAlignment="1">
      <alignment horizontal="center"/>
      <protection/>
    </xf>
    <xf numFmtId="180" fontId="5" fillId="0" borderId="37" xfId="33" applyNumberFormat="1" applyFont="1" applyFill="1" applyBorder="1" applyAlignment="1">
      <alignment horizontal="center" vertical="center" wrapText="1"/>
      <protection/>
    </xf>
    <xf numFmtId="180" fontId="5" fillId="0" borderId="14" xfId="33" applyNumberFormat="1" applyFont="1" applyFill="1" applyBorder="1" applyAlignment="1">
      <alignment horizontal="center"/>
      <protection/>
    </xf>
    <xf numFmtId="180" fontId="5" fillId="0" borderId="13" xfId="33" applyNumberFormat="1" applyFont="1" applyFill="1" applyBorder="1" applyAlignment="1">
      <alignment horizontal="center"/>
      <protection/>
    </xf>
    <xf numFmtId="180" fontId="5" fillId="0" borderId="12" xfId="33" applyNumberFormat="1" applyFont="1" applyFill="1" applyBorder="1" applyAlignment="1">
      <alignment horizontal="center"/>
      <protection/>
    </xf>
    <xf numFmtId="1" fontId="5" fillId="0" borderId="13" xfId="33" applyNumberFormat="1" applyFont="1" applyFill="1" applyBorder="1" applyAlignment="1">
      <alignment horizontal="center"/>
      <protection/>
    </xf>
    <xf numFmtId="180" fontId="5" fillId="0" borderId="15" xfId="33" applyNumberFormat="1" applyFont="1" applyFill="1" applyBorder="1" applyAlignment="1">
      <alignment horizontal="center"/>
      <protection/>
    </xf>
    <xf numFmtId="180" fontId="5" fillId="0" borderId="16" xfId="33" applyNumberFormat="1" applyFont="1" applyFill="1" applyBorder="1" applyAlignment="1">
      <alignment horizontal="center"/>
      <protection/>
    </xf>
    <xf numFmtId="1" fontId="5" fillId="0" borderId="15" xfId="33" applyNumberFormat="1" applyFont="1" applyFill="1" applyBorder="1" applyAlignment="1">
      <alignment horizontal="center"/>
      <protection/>
    </xf>
    <xf numFmtId="180" fontId="4" fillId="33" borderId="59" xfId="33" applyNumberFormat="1" applyFont="1" applyFill="1" applyBorder="1" applyAlignment="1">
      <alignment horizontal="center" vertical="center" wrapText="1"/>
      <protection/>
    </xf>
    <xf numFmtId="180" fontId="4" fillId="0" borderId="32" xfId="33" applyNumberFormat="1" applyFont="1" applyFill="1" applyBorder="1" applyAlignment="1">
      <alignment horizontal="center" vertical="center"/>
      <protection/>
    </xf>
    <xf numFmtId="180" fontId="4" fillId="0" borderId="33" xfId="33" applyNumberFormat="1" applyFont="1" applyFill="1" applyBorder="1" applyAlignment="1">
      <alignment horizontal="center" vertical="center" wrapText="1"/>
      <protection/>
    </xf>
    <xf numFmtId="180" fontId="4" fillId="33" borderId="51" xfId="33" applyNumberFormat="1" applyFont="1" applyFill="1" applyBorder="1" applyAlignment="1">
      <alignment horizontal="center" vertical="center" wrapText="1"/>
      <protection/>
    </xf>
    <xf numFmtId="180" fontId="5" fillId="0" borderId="33" xfId="33" applyNumberFormat="1" applyFont="1" applyFill="1" applyBorder="1" applyAlignment="1">
      <alignment horizontal="center" vertical="center" wrapText="1"/>
      <protection/>
    </xf>
    <xf numFmtId="180" fontId="5" fillId="32" borderId="14" xfId="33" applyNumberFormat="1" applyFont="1" applyFill="1" applyBorder="1" applyAlignment="1">
      <alignment horizontal="center"/>
      <protection/>
    </xf>
    <xf numFmtId="180" fontId="5" fillId="32" borderId="16" xfId="33" applyNumberFormat="1" applyFont="1" applyFill="1" applyBorder="1" applyAlignment="1">
      <alignment horizontal="center"/>
      <protection/>
    </xf>
    <xf numFmtId="180" fontId="5" fillId="32" borderId="12" xfId="33" applyNumberFormat="1" applyFont="1" applyFill="1" applyBorder="1" applyAlignment="1">
      <alignment horizontal="center"/>
      <protection/>
    </xf>
    <xf numFmtId="180" fontId="5" fillId="32" borderId="22" xfId="33" applyNumberFormat="1" applyFont="1" applyFill="1" applyBorder="1" applyAlignment="1">
      <alignment horizontal="center"/>
      <protection/>
    </xf>
    <xf numFmtId="180" fontId="5" fillId="33" borderId="12" xfId="33" applyNumberFormat="1" applyFont="1" applyFill="1" applyBorder="1" applyAlignment="1">
      <alignment horizontal="center"/>
      <protection/>
    </xf>
    <xf numFmtId="180" fontId="5" fillId="33" borderId="14" xfId="33" applyNumberFormat="1" applyFont="1" applyFill="1" applyBorder="1" applyAlignment="1">
      <alignment horizontal="center"/>
      <protection/>
    </xf>
    <xf numFmtId="180" fontId="5" fillId="33" borderId="22" xfId="33" applyNumberFormat="1" applyFont="1" applyFill="1" applyBorder="1" applyAlignment="1">
      <alignment horizontal="center"/>
      <protection/>
    </xf>
    <xf numFmtId="180" fontId="5" fillId="33" borderId="16" xfId="33" applyNumberFormat="1" applyFont="1" applyFill="1" applyBorder="1" applyAlignment="1">
      <alignment horizontal="center"/>
      <protection/>
    </xf>
    <xf numFmtId="180" fontId="5" fillId="0" borderId="20" xfId="33" applyNumberFormat="1" applyFont="1" applyFill="1" applyBorder="1" applyAlignment="1">
      <alignment horizontal="center"/>
      <protection/>
    </xf>
    <xf numFmtId="180" fontId="5" fillId="0" borderId="22" xfId="33" applyNumberFormat="1" applyFont="1" applyFill="1" applyBorder="1" applyAlignment="1">
      <alignment horizontal="center"/>
      <protection/>
    </xf>
    <xf numFmtId="180" fontId="5" fillId="32" borderId="65" xfId="33" applyNumberFormat="1" applyFont="1" applyFill="1" applyBorder="1" applyAlignment="1">
      <alignment horizontal="center" vertical="center"/>
      <protection/>
    </xf>
    <xf numFmtId="180" fontId="5" fillId="32" borderId="34" xfId="33" applyNumberFormat="1" applyFont="1" applyFill="1" applyBorder="1" applyAlignment="1">
      <alignment horizontal="center" vertical="center"/>
      <protection/>
    </xf>
    <xf numFmtId="180" fontId="5" fillId="32" borderId="70" xfId="33" applyNumberFormat="1" applyFont="1" applyFill="1" applyBorder="1" applyAlignment="1">
      <alignment horizontal="center" vertical="center"/>
      <protection/>
    </xf>
    <xf numFmtId="180" fontId="5" fillId="32" borderId="64" xfId="33" applyNumberFormat="1" applyFont="1" applyFill="1" applyBorder="1" applyAlignment="1">
      <alignment horizontal="center" vertical="center"/>
      <protection/>
    </xf>
    <xf numFmtId="180" fontId="5" fillId="33" borderId="70" xfId="33" applyNumberFormat="1" applyFont="1" applyFill="1" applyBorder="1" applyAlignment="1">
      <alignment horizontal="center" vertical="center"/>
      <protection/>
    </xf>
    <xf numFmtId="180" fontId="5" fillId="33" borderId="65" xfId="33" applyNumberFormat="1" applyFont="1" applyFill="1" applyBorder="1" applyAlignment="1">
      <alignment horizontal="center" vertical="center"/>
      <protection/>
    </xf>
    <xf numFmtId="180" fontId="5" fillId="33" borderId="64" xfId="33" applyNumberFormat="1" applyFont="1" applyFill="1" applyBorder="1" applyAlignment="1">
      <alignment horizontal="center" vertical="center"/>
      <protection/>
    </xf>
    <xf numFmtId="180" fontId="5" fillId="33" borderId="34" xfId="33" applyNumberFormat="1" applyFont="1" applyFill="1" applyBorder="1" applyAlignment="1">
      <alignment horizontal="center" vertical="center"/>
      <protection/>
    </xf>
    <xf numFmtId="180" fontId="5" fillId="0" borderId="23" xfId="33" applyNumberFormat="1" applyFont="1" applyFill="1" applyBorder="1" applyAlignment="1">
      <alignment horizontal="center" vertical="center"/>
      <protection/>
    </xf>
    <xf numFmtId="180" fontId="5" fillId="0" borderId="64" xfId="33" applyNumberFormat="1" applyFont="1" applyFill="1" applyBorder="1" applyAlignment="1">
      <alignment horizontal="center" vertical="center"/>
      <protection/>
    </xf>
    <xf numFmtId="180" fontId="5" fillId="0" borderId="34" xfId="33" applyNumberFormat="1" applyFont="1" applyFill="1" applyBorder="1" applyAlignment="1">
      <alignment horizontal="center" vertical="center"/>
      <protection/>
    </xf>
    <xf numFmtId="180" fontId="11" fillId="38" borderId="14" xfId="0" applyNumberFormat="1" applyFont="1" applyFill="1" applyBorder="1" applyAlignment="1" quotePrefix="1">
      <alignment horizontal="center" vertical="center"/>
    </xf>
    <xf numFmtId="180" fontId="11" fillId="38" borderId="13" xfId="0" applyNumberFormat="1" applyFont="1" applyFill="1" applyBorder="1" applyAlignment="1" quotePrefix="1">
      <alignment horizontal="center" vertical="center"/>
    </xf>
    <xf numFmtId="180" fontId="11" fillId="38" borderId="12" xfId="0" applyNumberFormat="1" applyFont="1" applyFill="1" applyBorder="1" applyAlignment="1" quotePrefix="1">
      <alignment horizontal="center" vertical="center"/>
    </xf>
    <xf numFmtId="1" fontId="11" fillId="38" borderId="13" xfId="0" applyNumberFormat="1" applyFont="1" applyFill="1" applyBorder="1" applyAlignment="1" quotePrefix="1">
      <alignment horizontal="center" vertical="center"/>
    </xf>
    <xf numFmtId="180" fontId="32" fillId="38" borderId="13" xfId="0" applyNumberFormat="1" applyFont="1" applyFill="1" applyBorder="1" applyAlignment="1" quotePrefix="1">
      <alignment horizontal="center" vertical="center"/>
    </xf>
    <xf numFmtId="180" fontId="11" fillId="38" borderId="15" xfId="0" applyNumberFormat="1" applyFont="1" applyFill="1" applyBorder="1" applyAlignment="1" quotePrefix="1">
      <alignment horizontal="center" vertical="center"/>
    </xf>
    <xf numFmtId="180" fontId="11" fillId="38" borderId="16" xfId="0" applyNumberFormat="1" applyFont="1" applyFill="1" applyBorder="1" applyAlignment="1" quotePrefix="1">
      <alignment horizontal="center" vertical="center"/>
    </xf>
    <xf numFmtId="1" fontId="11" fillId="38" borderId="15" xfId="0" applyNumberFormat="1" applyFont="1" applyFill="1" applyBorder="1" applyAlignment="1" quotePrefix="1">
      <alignment horizontal="center" vertical="center"/>
    </xf>
    <xf numFmtId="180" fontId="5" fillId="38" borderId="20" xfId="33" applyNumberFormat="1" applyFont="1" applyFill="1" applyBorder="1" applyAlignment="1">
      <alignment horizontal="center" vertical="center"/>
      <protection/>
    </xf>
    <xf numFmtId="180" fontId="5" fillId="38" borderId="22" xfId="33" applyNumberFormat="1" applyFont="1" applyFill="1" applyBorder="1" applyAlignment="1">
      <alignment horizontal="center" vertical="center"/>
      <protection/>
    </xf>
    <xf numFmtId="180" fontId="5" fillId="38" borderId="16" xfId="33" applyNumberFormat="1" applyFont="1" applyFill="1" applyBorder="1" applyAlignment="1">
      <alignment horizontal="center" vertical="center"/>
      <protection/>
    </xf>
    <xf numFmtId="180" fontId="3" fillId="0" borderId="71" xfId="33" applyNumberFormat="1" applyFont="1" applyFill="1" applyBorder="1" applyAlignment="1">
      <alignment horizontal="center"/>
      <protection/>
    </xf>
    <xf numFmtId="180" fontId="4" fillId="35" borderId="42" xfId="33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9" borderId="13" xfId="0" applyFont="1" applyFill="1" applyBorder="1" applyAlignment="1">
      <alignment/>
    </xf>
    <xf numFmtId="0" fontId="0" fillId="39" borderId="48" xfId="0" applyFont="1" applyFill="1" applyBorder="1" applyAlignment="1">
      <alignment/>
    </xf>
    <xf numFmtId="0" fontId="0" fillId="0" borderId="55" xfId="0" applyBorder="1" applyAlignment="1">
      <alignment/>
    </xf>
    <xf numFmtId="0" fontId="0" fillId="40" borderId="13" xfId="0" applyFill="1" applyBorder="1" applyAlignment="1">
      <alignment/>
    </xf>
    <xf numFmtId="0" fontId="0" fillId="40" borderId="48" xfId="0" applyFill="1" applyBorder="1" applyAlignment="1">
      <alignment/>
    </xf>
    <xf numFmtId="180" fontId="5" fillId="0" borderId="18" xfId="33" applyNumberFormat="1" applyFont="1" applyFill="1" applyBorder="1" applyAlignment="1">
      <alignment horizontal="left" vertical="center"/>
      <protection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44" xfId="0" applyBorder="1" applyAlignment="1">
      <alignment/>
    </xf>
    <xf numFmtId="180" fontId="4" fillId="0" borderId="17" xfId="33" applyNumberFormat="1" applyFont="1" applyFill="1" applyBorder="1" applyAlignment="1">
      <alignment horizontal="left" vertical="center"/>
      <protection/>
    </xf>
    <xf numFmtId="0" fontId="30" fillId="0" borderId="73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0" fontId="0" fillId="0" borderId="4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180" fontId="25" fillId="36" borderId="16" xfId="33" applyNumberFormat="1" applyFont="1" applyFill="1" applyBorder="1">
      <alignment/>
      <protection/>
    </xf>
    <xf numFmtId="180" fontId="28" fillId="36" borderId="12" xfId="33" applyNumberFormat="1" applyFont="1" applyFill="1" applyBorder="1" applyAlignment="1">
      <alignment horizontal="center"/>
      <protection/>
    </xf>
    <xf numFmtId="180" fontId="28" fillId="36" borderId="20" xfId="33" applyNumberFormat="1" applyFont="1" applyFill="1" applyBorder="1" applyAlignment="1">
      <alignment horizontal="center"/>
      <protection/>
    </xf>
    <xf numFmtId="180" fontId="28" fillId="36" borderId="16" xfId="33" applyNumberFormat="1" applyFont="1" applyFill="1" applyBorder="1" applyAlignment="1">
      <alignment horizontal="center"/>
      <protection/>
    </xf>
    <xf numFmtId="1" fontId="28" fillId="36" borderId="12" xfId="33" applyNumberFormat="1" applyFont="1" applyFill="1" applyBorder="1" applyAlignment="1">
      <alignment horizontal="center"/>
      <protection/>
    </xf>
    <xf numFmtId="180" fontId="28" fillId="36" borderId="22" xfId="33" applyNumberFormat="1" applyFont="1" applyFill="1" applyBorder="1" applyAlignment="1">
      <alignment horizontal="center"/>
      <protection/>
    </xf>
    <xf numFmtId="180" fontId="35" fillId="32" borderId="13" xfId="33" applyNumberFormat="1" applyFont="1" applyFill="1" applyBorder="1" applyAlignment="1">
      <alignment horizontal="left" vertical="center" wrapText="1"/>
      <protection/>
    </xf>
    <xf numFmtId="49" fontId="36" fillId="13" borderId="12" xfId="33" applyNumberFormat="1" applyFont="1" applyFill="1" applyBorder="1" applyAlignment="1">
      <alignment horizontal="left" vertical="center" wrapText="1"/>
      <protection/>
    </xf>
    <xf numFmtId="49" fontId="14" fillId="0" borderId="0" xfId="34" applyNumberFormat="1" applyFont="1" applyBorder="1" applyAlignment="1">
      <alignment horizontal="center"/>
      <protection/>
    </xf>
    <xf numFmtId="180" fontId="14" fillId="0" borderId="0" xfId="34" applyNumberFormat="1" applyFont="1" applyBorder="1">
      <alignment/>
      <protection/>
    </xf>
    <xf numFmtId="0" fontId="17" fillId="0" borderId="0" xfId="34" applyFont="1" applyBorder="1">
      <alignment/>
      <protection/>
    </xf>
    <xf numFmtId="180" fontId="28" fillId="36" borderId="22" xfId="33" applyNumberFormat="1" applyFont="1" applyFill="1" applyBorder="1">
      <alignment/>
      <protection/>
    </xf>
    <xf numFmtId="180" fontId="29" fillId="36" borderId="14" xfId="33" applyNumberFormat="1" applyFont="1" applyFill="1" applyBorder="1" applyAlignment="1">
      <alignment horizontal="center"/>
      <protection/>
    </xf>
    <xf numFmtId="1" fontId="28" fillId="36" borderId="13" xfId="33" applyNumberFormat="1" applyFont="1" applyFill="1" applyBorder="1" applyAlignment="1">
      <alignment horizontal="center"/>
      <protection/>
    </xf>
    <xf numFmtId="180" fontId="28" fillId="36" borderId="13" xfId="33" applyNumberFormat="1" applyFont="1" applyFill="1" applyBorder="1" applyAlignment="1">
      <alignment horizontal="center"/>
      <protection/>
    </xf>
    <xf numFmtId="180" fontId="28" fillId="36" borderId="15" xfId="33" applyNumberFormat="1" applyFont="1" applyFill="1" applyBorder="1" applyAlignment="1">
      <alignment horizontal="center"/>
      <protection/>
    </xf>
    <xf numFmtId="180" fontId="28" fillId="36" borderId="48" xfId="33" applyNumberFormat="1" applyFont="1" applyFill="1" applyBorder="1" applyAlignment="1">
      <alignment horizontal="center"/>
      <protection/>
    </xf>
    <xf numFmtId="1" fontId="28" fillId="36" borderId="15" xfId="33" applyNumberFormat="1" applyFont="1" applyFill="1" applyBorder="1" applyAlignment="1">
      <alignment horizontal="center"/>
      <protection/>
    </xf>
    <xf numFmtId="180" fontId="28" fillId="36" borderId="75" xfId="33" applyNumberFormat="1" applyFont="1" applyFill="1" applyBorder="1" applyAlignment="1">
      <alignment horizontal="center"/>
      <protection/>
    </xf>
    <xf numFmtId="180" fontId="12" fillId="36" borderId="19" xfId="33" applyNumberFormat="1" applyFont="1" applyFill="1" applyBorder="1" applyAlignment="1">
      <alignment horizontal="center" vertical="center" wrapText="1"/>
      <protection/>
    </xf>
    <xf numFmtId="180" fontId="5" fillId="36" borderId="42" xfId="33" applyNumberFormat="1" applyFont="1" applyFill="1" applyBorder="1" applyAlignment="1">
      <alignment horizontal="center" vertical="center" wrapText="1"/>
      <protection/>
    </xf>
    <xf numFmtId="180" fontId="5" fillId="36" borderId="48" xfId="33" applyNumberFormat="1" applyFont="1" applyFill="1" applyBorder="1" applyAlignment="1">
      <alignment horizontal="center"/>
      <protection/>
    </xf>
    <xf numFmtId="180" fontId="5" fillId="36" borderId="63" xfId="33" applyNumberFormat="1" applyFont="1" applyFill="1" applyBorder="1" applyAlignment="1">
      <alignment horizontal="center" vertical="center" wrapText="1"/>
      <protection/>
    </xf>
    <xf numFmtId="180" fontId="5" fillId="36" borderId="16" xfId="33" applyNumberFormat="1" applyFont="1" applyFill="1" applyBorder="1" applyAlignment="1">
      <alignment horizontal="center"/>
      <protection/>
    </xf>
    <xf numFmtId="180" fontId="5" fillId="36" borderId="48" xfId="33" applyNumberFormat="1" applyFont="1" applyFill="1" applyBorder="1" applyAlignment="1">
      <alignment horizontal="center" vertical="center" wrapText="1"/>
      <protection/>
    </xf>
    <xf numFmtId="180" fontId="5" fillId="36" borderId="34" xfId="33" applyNumberFormat="1" applyFont="1" applyFill="1" applyBorder="1" applyAlignment="1">
      <alignment horizontal="center" vertical="center"/>
      <protection/>
    </xf>
    <xf numFmtId="180" fontId="11" fillId="36" borderId="48" xfId="0" applyNumberFormat="1" applyFont="1" applyFill="1" applyBorder="1" applyAlignment="1" quotePrefix="1">
      <alignment horizontal="center" vertical="center"/>
    </xf>
    <xf numFmtId="180" fontId="2" fillId="0" borderId="61" xfId="33" applyNumberFormat="1" applyFont="1" applyFill="1" applyBorder="1" applyAlignment="1">
      <alignment horizontal="center" vertical="center" wrapText="1"/>
      <protection/>
    </xf>
    <xf numFmtId="180" fontId="2" fillId="0" borderId="18" xfId="33" applyNumberFormat="1" applyFont="1" applyFill="1" applyBorder="1" applyAlignment="1">
      <alignment horizontal="center" vertical="center"/>
      <protection/>
    </xf>
    <xf numFmtId="180" fontId="4" fillId="0" borderId="62" xfId="33" applyNumberFormat="1" applyFont="1" applyFill="1" applyBorder="1" applyAlignment="1">
      <alignment horizontal="center"/>
      <protection/>
    </xf>
    <xf numFmtId="180" fontId="2" fillId="0" borderId="37" xfId="33" applyNumberFormat="1" applyFont="1" applyFill="1" applyBorder="1" applyAlignment="1">
      <alignment horizontal="center" vertical="center"/>
      <protection/>
    </xf>
    <xf numFmtId="9" fontId="2" fillId="0" borderId="28" xfId="34" applyNumberFormat="1" applyFont="1" applyFill="1" applyBorder="1" applyAlignment="1">
      <alignment horizontal="center" wrapText="1"/>
      <protection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Alignment="1">
      <alignment vertical="center"/>
    </xf>
    <xf numFmtId="2" fontId="37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8" fillId="0" borderId="0" xfId="0" applyNumberFormat="1" applyFont="1" applyFill="1" applyAlignment="1">
      <alignment horizontal="center" wrapText="1"/>
    </xf>
    <xf numFmtId="180" fontId="88" fillId="0" borderId="24" xfId="33" applyNumberFormat="1" applyFont="1" applyFill="1" applyBorder="1">
      <alignment/>
      <protection/>
    </xf>
    <xf numFmtId="180" fontId="3" fillId="0" borderId="24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>
      <alignment horizontal="center"/>
    </xf>
    <xf numFmtId="180" fontId="3" fillId="0" borderId="29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180" fontId="3" fillId="0" borderId="33" xfId="0" applyNumberFormat="1" applyFont="1" applyFill="1" applyBorder="1" applyAlignment="1">
      <alignment horizontal="center"/>
    </xf>
    <xf numFmtId="180" fontId="3" fillId="0" borderId="41" xfId="0" applyNumberFormat="1" applyFont="1" applyFill="1" applyBorder="1" applyAlignment="1">
      <alignment horizontal="center"/>
    </xf>
    <xf numFmtId="180" fontId="3" fillId="0" borderId="40" xfId="0" applyNumberFormat="1" applyFont="1" applyFill="1" applyBorder="1" applyAlignment="1">
      <alignment horizontal="center"/>
    </xf>
    <xf numFmtId="180" fontId="29" fillId="36" borderId="16" xfId="0" applyNumberFormat="1" applyFont="1" applyFill="1" applyBorder="1" applyAlignment="1">
      <alignment horizontal="center"/>
    </xf>
    <xf numFmtId="180" fontId="29" fillId="36" borderId="22" xfId="0" applyNumberFormat="1" applyFont="1" applyFill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/>
    </xf>
    <xf numFmtId="180" fontId="3" fillId="0" borderId="30" xfId="0" applyNumberFormat="1" applyFont="1" applyFill="1" applyBorder="1" applyAlignment="1">
      <alignment horizontal="center"/>
    </xf>
    <xf numFmtId="180" fontId="28" fillId="36" borderId="16" xfId="0" applyNumberFormat="1" applyFont="1" applyFill="1" applyBorder="1" applyAlignment="1">
      <alignment horizontal="center"/>
    </xf>
    <xf numFmtId="2" fontId="89" fillId="0" borderId="0" xfId="0" applyNumberFormat="1" applyFont="1" applyFill="1" applyAlignment="1">
      <alignment/>
    </xf>
    <xf numFmtId="180" fontId="28" fillId="36" borderId="40" xfId="0" applyNumberFormat="1" applyFont="1" applyFill="1" applyBorder="1" applyAlignment="1">
      <alignment horizontal="center"/>
    </xf>
    <xf numFmtId="180" fontId="28" fillId="36" borderId="4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26" fillId="0" borderId="26" xfId="0" applyFont="1" applyBorder="1" applyAlignment="1">
      <alignment horizontal="center" vertical="center"/>
    </xf>
    <xf numFmtId="180" fontId="26" fillId="0" borderId="24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180" fontId="26" fillId="0" borderId="27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 wrapText="1"/>
    </xf>
    <xf numFmtId="0" fontId="26" fillId="0" borderId="27" xfId="0" applyFont="1" applyBorder="1" applyAlignment="1">
      <alignment horizontal="center" vertical="top"/>
    </xf>
    <xf numFmtId="0" fontId="26" fillId="0" borderId="40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180" fontId="26" fillId="0" borderId="29" xfId="0" applyNumberFormat="1" applyFont="1" applyBorder="1" applyAlignment="1">
      <alignment horizontal="center" vertical="center"/>
    </xf>
    <xf numFmtId="180" fontId="26" fillId="0" borderId="41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180" fontId="26" fillId="0" borderId="3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80" fontId="26" fillId="0" borderId="26" xfId="0" applyNumberFormat="1" applyFont="1" applyBorder="1" applyAlignment="1">
      <alignment horizontal="center" vertical="center" wrapText="1"/>
    </xf>
    <xf numFmtId="180" fontId="26" fillId="0" borderId="29" xfId="0" applyNumberFormat="1" applyFont="1" applyBorder="1" applyAlignment="1">
      <alignment horizontal="center"/>
    </xf>
    <xf numFmtId="180" fontId="26" fillId="0" borderId="0" xfId="0" applyNumberFormat="1" applyFont="1" applyBorder="1" applyAlignment="1">
      <alignment horizontal="center"/>
    </xf>
    <xf numFmtId="180" fontId="26" fillId="0" borderId="27" xfId="0" applyNumberFormat="1" applyFont="1" applyBorder="1" applyAlignment="1">
      <alignment horizontal="center"/>
    </xf>
    <xf numFmtId="180" fontId="26" fillId="0" borderId="33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80" fontId="29" fillId="0" borderId="27" xfId="0" applyNumberFormat="1" applyFont="1" applyBorder="1" applyAlignment="1">
      <alignment horizontal="center" vertical="center"/>
    </xf>
    <xf numFmtId="180" fontId="29" fillId="0" borderId="40" xfId="0" applyNumberFormat="1" applyFont="1" applyBorder="1" applyAlignment="1">
      <alignment horizontal="center" vertical="center"/>
    </xf>
    <xf numFmtId="180" fontId="90" fillId="32" borderId="22" xfId="0" applyNumberFormat="1" applyFont="1" applyFill="1" applyBorder="1" applyAlignment="1">
      <alignment horizontal="center" vertical="center"/>
    </xf>
    <xf numFmtId="180" fontId="37" fillId="32" borderId="10" xfId="0" applyNumberFormat="1" applyFont="1" applyFill="1" applyBorder="1" applyAlignment="1">
      <alignment horizontal="center" vertical="center"/>
    </xf>
    <xf numFmtId="180" fontId="37" fillId="32" borderId="11" xfId="0" applyNumberFormat="1" applyFont="1" applyFill="1" applyBorder="1" applyAlignment="1">
      <alignment horizontal="center" vertical="center"/>
    </xf>
    <xf numFmtId="0" fontId="37" fillId="32" borderId="49" xfId="0" applyFont="1" applyFill="1" applyBorder="1" applyAlignment="1">
      <alignment horizontal="center" vertical="center"/>
    </xf>
    <xf numFmtId="180" fontId="91" fillId="32" borderId="16" xfId="0" applyNumberFormat="1" applyFont="1" applyFill="1" applyBorder="1" applyAlignment="1">
      <alignment horizontal="center" vertical="center"/>
    </xf>
    <xf numFmtId="180" fontId="91" fillId="32" borderId="2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" fontId="3" fillId="0" borderId="24" xfId="0" applyNumberFormat="1" applyFont="1" applyFill="1" applyBorder="1" applyAlignment="1">
      <alignment horizontal="center"/>
    </xf>
    <xf numFmtId="2" fontId="92" fillId="0" borderId="0" xfId="0" applyNumberFormat="1" applyFont="1" applyFill="1" applyAlignment="1">
      <alignment/>
    </xf>
    <xf numFmtId="1" fontId="3" fillId="0" borderId="27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>
      <alignment horizontal="center" shrinkToFit="1"/>
    </xf>
    <xf numFmtId="1" fontId="3" fillId="0" borderId="40" xfId="0" applyNumberFormat="1" applyFont="1" applyFill="1" applyBorder="1" applyAlignment="1">
      <alignment horizontal="center"/>
    </xf>
    <xf numFmtId="180" fontId="3" fillId="0" borderId="49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80" fontId="3" fillId="0" borderId="35" xfId="0" applyNumberFormat="1" applyFont="1" applyFill="1" applyBorder="1" applyAlignment="1">
      <alignment horizontal="center"/>
    </xf>
    <xf numFmtId="2" fontId="3" fillId="0" borderId="10" xfId="33" applyNumberFormat="1" applyFont="1" applyFill="1" applyBorder="1" applyAlignment="1">
      <alignment/>
      <protection/>
    </xf>
    <xf numFmtId="2" fontId="3" fillId="0" borderId="26" xfId="33" applyNumberFormat="1" applyFont="1" applyFill="1" applyBorder="1" applyAlignment="1">
      <alignment/>
      <protection/>
    </xf>
    <xf numFmtId="2" fontId="3" fillId="0" borderId="11" xfId="33" applyNumberFormat="1" applyFont="1" applyFill="1" applyBorder="1" applyAlignment="1">
      <alignment/>
      <protection/>
    </xf>
    <xf numFmtId="2" fontId="3" fillId="0" borderId="29" xfId="33" applyNumberFormat="1" applyFont="1" applyFill="1" applyBorder="1" applyAlignment="1">
      <alignment/>
      <protection/>
    </xf>
    <xf numFmtId="2" fontId="93" fillId="0" borderId="0" xfId="0" applyNumberFormat="1" applyFont="1" applyFill="1" applyAlignment="1">
      <alignment/>
    </xf>
    <xf numFmtId="1" fontId="3" fillId="0" borderId="31" xfId="0" applyNumberFormat="1" applyFont="1" applyFill="1" applyBorder="1" applyAlignment="1">
      <alignment horizontal="center"/>
    </xf>
    <xf numFmtId="180" fontId="3" fillId="0" borderId="47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/>
    </xf>
    <xf numFmtId="2" fontId="3" fillId="0" borderId="26" xfId="0" applyNumberFormat="1" applyFont="1" applyFill="1" applyBorder="1" applyAlignment="1">
      <alignment horizontal="left"/>
    </xf>
    <xf numFmtId="1" fontId="28" fillId="32" borderId="16" xfId="0" applyNumberFormat="1" applyFont="1" applyFill="1" applyBorder="1" applyAlignment="1">
      <alignment horizontal="center"/>
    </xf>
    <xf numFmtId="180" fontId="29" fillId="32" borderId="16" xfId="0" applyNumberFormat="1" applyFont="1" applyFill="1" applyBorder="1" applyAlignment="1">
      <alignment horizontal="center"/>
    </xf>
    <xf numFmtId="180" fontId="29" fillId="32" borderId="20" xfId="0" applyNumberFormat="1" applyFont="1" applyFill="1" applyBorder="1" applyAlignment="1">
      <alignment horizontal="center"/>
    </xf>
    <xf numFmtId="180" fontId="29" fillId="32" borderId="22" xfId="0" applyNumberFormat="1" applyFont="1" applyFill="1" applyBorder="1" applyAlignment="1">
      <alignment horizontal="center"/>
    </xf>
    <xf numFmtId="180" fontId="3" fillId="32" borderId="31" xfId="0" applyNumberFormat="1" applyFont="1" applyFill="1" applyBorder="1" applyAlignment="1">
      <alignment horizontal="center"/>
    </xf>
    <xf numFmtId="180" fontId="29" fillId="32" borderId="31" xfId="0" applyNumberFormat="1" applyFont="1" applyFill="1" applyBorder="1" applyAlignment="1">
      <alignment horizontal="center"/>
    </xf>
    <xf numFmtId="1" fontId="3" fillId="32" borderId="16" xfId="0" applyNumberFormat="1" applyFont="1" applyFill="1" applyBorder="1" applyAlignment="1">
      <alignment horizontal="center"/>
    </xf>
    <xf numFmtId="180" fontId="28" fillId="32" borderId="16" xfId="0" applyNumberFormat="1" applyFont="1" applyFill="1" applyBorder="1" applyAlignment="1">
      <alignment horizontal="center"/>
    </xf>
    <xf numFmtId="1" fontId="26" fillId="32" borderId="16" xfId="0" applyNumberFormat="1" applyFont="1" applyFill="1" applyBorder="1" applyAlignment="1">
      <alignment horizontal="center"/>
    </xf>
    <xf numFmtId="180" fontId="25" fillId="32" borderId="22" xfId="0" applyNumberFormat="1" applyFont="1" applyFill="1" applyBorder="1" applyAlignment="1">
      <alignment horizontal="center"/>
    </xf>
    <xf numFmtId="1" fontId="28" fillId="36" borderId="16" xfId="0" applyNumberFormat="1" applyFont="1" applyFill="1" applyBorder="1" applyAlignment="1">
      <alignment horizontal="center"/>
    </xf>
    <xf numFmtId="180" fontId="3" fillId="36" borderId="24" xfId="0" applyNumberFormat="1" applyFont="1" applyFill="1" applyBorder="1" applyAlignment="1">
      <alignment horizontal="center"/>
    </xf>
    <xf numFmtId="180" fontId="3" fillId="36" borderId="27" xfId="0" applyNumberFormat="1" applyFont="1" applyFill="1" applyBorder="1" applyAlignment="1">
      <alignment horizontal="center"/>
    </xf>
    <xf numFmtId="180" fontId="3" fillId="36" borderId="40" xfId="0" applyNumberFormat="1" applyFont="1" applyFill="1" applyBorder="1" applyAlignment="1">
      <alignment horizontal="center"/>
    </xf>
    <xf numFmtId="180" fontId="28" fillId="36" borderId="34" xfId="0" applyNumberFormat="1" applyFont="1" applyFill="1" applyBorder="1" applyAlignment="1">
      <alignment horizontal="center"/>
    </xf>
    <xf numFmtId="180" fontId="28" fillId="36" borderId="27" xfId="0" applyNumberFormat="1" applyFont="1" applyFill="1" applyBorder="1" applyAlignment="1">
      <alignment horizontal="center"/>
    </xf>
    <xf numFmtId="180" fontId="28" fillId="36" borderId="24" xfId="0" applyNumberFormat="1" applyFont="1" applyFill="1" applyBorder="1" applyAlignment="1">
      <alignment horizontal="center"/>
    </xf>
    <xf numFmtId="180" fontId="28" fillId="36" borderId="33" xfId="0" applyNumberFormat="1" applyFont="1" applyFill="1" applyBorder="1" applyAlignment="1">
      <alignment horizontal="center"/>
    </xf>
    <xf numFmtId="180" fontId="25" fillId="36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Alignment="1">
      <alignment horizontal="center" vertical="center" wrapText="1"/>
    </xf>
    <xf numFmtId="0" fontId="11" fillId="0" borderId="48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9" fillId="0" borderId="0" xfId="0" applyFont="1" applyAlignment="1">
      <alignment/>
    </xf>
    <xf numFmtId="180" fontId="25" fillId="0" borderId="26" xfId="33" applyNumberFormat="1" applyFont="1" applyFill="1" applyBorder="1" applyAlignment="1">
      <alignment horizontal="left"/>
      <protection/>
    </xf>
    <xf numFmtId="2" fontId="7" fillId="0" borderId="22" xfId="33" applyNumberFormat="1" applyFont="1" applyFill="1" applyBorder="1" applyAlignment="1">
      <alignment horizontal="left" vertical="center"/>
      <protection/>
    </xf>
    <xf numFmtId="2" fontId="7" fillId="0" borderId="20" xfId="33" applyNumberFormat="1" applyFont="1" applyFill="1" applyBorder="1" applyAlignment="1">
      <alignment horizontal="left" vertical="center"/>
      <protection/>
    </xf>
    <xf numFmtId="2" fontId="7" fillId="0" borderId="19" xfId="33" applyNumberFormat="1" applyFont="1" applyFill="1" applyBorder="1" applyAlignment="1">
      <alignment horizontal="left" vertical="center"/>
      <protection/>
    </xf>
    <xf numFmtId="180" fontId="4" fillId="0" borderId="64" xfId="33" applyNumberFormat="1" applyFont="1" applyFill="1" applyBorder="1" applyAlignment="1">
      <alignment horizontal="left" vertical="center"/>
      <protection/>
    </xf>
    <xf numFmtId="180" fontId="4" fillId="0" borderId="23" xfId="33" applyNumberFormat="1" applyFont="1" applyFill="1" applyBorder="1" applyAlignment="1">
      <alignment horizontal="left" vertical="center"/>
      <protection/>
    </xf>
    <xf numFmtId="180" fontId="4" fillId="0" borderId="76" xfId="33" applyNumberFormat="1" applyFont="1" applyFill="1" applyBorder="1" applyAlignment="1">
      <alignment horizontal="left" vertical="center"/>
      <protection/>
    </xf>
    <xf numFmtId="180" fontId="7" fillId="0" borderId="34" xfId="33" applyNumberFormat="1" applyFont="1" applyFill="1" applyBorder="1" applyAlignment="1">
      <alignment horizontal="left" vertical="center"/>
      <protection/>
    </xf>
    <xf numFmtId="180" fontId="7" fillId="0" borderId="35" xfId="33" applyNumberFormat="1" applyFont="1" applyFill="1" applyBorder="1" applyAlignment="1">
      <alignment horizontal="left" vertical="center"/>
      <protection/>
    </xf>
    <xf numFmtId="180" fontId="7" fillId="0" borderId="23" xfId="33" applyNumberFormat="1" applyFont="1" applyFill="1" applyBorder="1" applyAlignment="1">
      <alignment horizontal="left" vertical="center" wrapText="1"/>
      <protection/>
    </xf>
    <xf numFmtId="180" fontId="7" fillId="0" borderId="76" xfId="33" applyNumberFormat="1" applyFont="1" applyFill="1" applyBorder="1" applyAlignment="1">
      <alignment horizontal="left" vertical="center" wrapText="1"/>
      <protection/>
    </xf>
    <xf numFmtId="180" fontId="7" fillId="0" borderId="22" xfId="33" applyNumberFormat="1" applyFont="1" applyFill="1" applyBorder="1" applyAlignment="1">
      <alignment horizontal="left" vertical="center"/>
      <protection/>
    </xf>
    <xf numFmtId="180" fontId="7" fillId="0" borderId="20" xfId="33" applyNumberFormat="1" applyFont="1" applyFill="1" applyBorder="1" applyAlignment="1">
      <alignment horizontal="left" vertical="center"/>
      <protection/>
    </xf>
    <xf numFmtId="180" fontId="7" fillId="0" borderId="19" xfId="33" applyNumberFormat="1" applyFont="1" applyFill="1" applyBorder="1" applyAlignment="1">
      <alignment horizontal="left" vertical="center"/>
      <protection/>
    </xf>
    <xf numFmtId="180" fontId="7" fillId="0" borderId="77" xfId="33" applyNumberFormat="1" applyFont="1" applyFill="1" applyBorder="1" applyAlignment="1">
      <alignment horizontal="left" vertical="center"/>
      <protection/>
    </xf>
    <xf numFmtId="49" fontId="14" fillId="0" borderId="14" xfId="34" applyNumberFormat="1" applyFont="1" applyBorder="1" applyAlignment="1">
      <alignment horizontal="center"/>
      <protection/>
    </xf>
    <xf numFmtId="49" fontId="14" fillId="0" borderId="13" xfId="34" applyNumberFormat="1" applyFont="1" applyBorder="1" applyAlignment="1">
      <alignment horizontal="center"/>
      <protection/>
    </xf>
    <xf numFmtId="0" fontId="2" fillId="0" borderId="21" xfId="34" applyFont="1" applyBorder="1" applyAlignment="1">
      <alignment/>
      <protection/>
    </xf>
    <xf numFmtId="0" fontId="2" fillId="0" borderId="0" xfId="34" applyFont="1" applyBorder="1" applyAlignment="1">
      <alignment/>
      <protection/>
    </xf>
    <xf numFmtId="49" fontId="2" fillId="0" borderId="57" xfId="34" applyNumberFormat="1" applyFont="1" applyBorder="1" applyAlignment="1">
      <alignment wrapText="1"/>
      <protection/>
    </xf>
    <xf numFmtId="49" fontId="2" fillId="0" borderId="17" xfId="34" applyNumberFormat="1" applyFont="1" applyBorder="1" applyAlignment="1">
      <alignment wrapText="1"/>
      <protection/>
    </xf>
    <xf numFmtId="49" fontId="2" fillId="0" borderId="36" xfId="34" applyNumberFormat="1" applyFont="1" applyBorder="1" applyAlignment="1">
      <alignment wrapText="1"/>
      <protection/>
    </xf>
    <xf numFmtId="0" fontId="2" fillId="0" borderId="11" xfId="34" applyFont="1" applyBorder="1" applyAlignment="1">
      <alignment/>
      <protection/>
    </xf>
    <xf numFmtId="0" fontId="2" fillId="0" borderId="29" xfId="34" applyFont="1" applyBorder="1" applyAlignment="1">
      <alignment/>
      <protection/>
    </xf>
    <xf numFmtId="0" fontId="2" fillId="0" borderId="28" xfId="34" applyFont="1" applyBorder="1" applyAlignment="1">
      <alignment/>
      <protection/>
    </xf>
    <xf numFmtId="0" fontId="16" fillId="0" borderId="14" xfId="34" applyFont="1" applyBorder="1" applyAlignment="1">
      <alignment horizontal="left"/>
      <protection/>
    </xf>
    <xf numFmtId="0" fontId="16" fillId="0" borderId="13" xfId="34" applyFont="1" applyBorder="1" applyAlignment="1">
      <alignment horizontal="left"/>
      <protection/>
    </xf>
    <xf numFmtId="0" fontId="16" fillId="0" borderId="48" xfId="34" applyFont="1" applyBorder="1" applyAlignment="1">
      <alignment horizontal="left"/>
      <protection/>
    </xf>
    <xf numFmtId="0" fontId="2" fillId="0" borderId="57" xfId="34" applyFont="1" applyBorder="1" applyAlignment="1">
      <alignment/>
      <protection/>
    </xf>
    <xf numFmtId="0" fontId="2" fillId="0" borderId="17" xfId="34" applyFont="1" applyBorder="1" applyAlignment="1">
      <alignment/>
      <protection/>
    </xf>
    <xf numFmtId="0" fontId="2" fillId="0" borderId="36" xfId="34" applyFont="1" applyBorder="1" applyAlignment="1">
      <alignment/>
      <protection/>
    </xf>
    <xf numFmtId="49" fontId="2" fillId="0" borderId="61" xfId="34" applyNumberFormat="1" applyFont="1" applyBorder="1" applyAlignment="1">
      <alignment wrapText="1"/>
      <protection/>
    </xf>
    <xf numFmtId="49" fontId="2" fillId="0" borderId="18" xfId="34" applyNumberFormat="1" applyFont="1" applyBorder="1" applyAlignment="1">
      <alignment wrapText="1"/>
      <protection/>
    </xf>
    <xf numFmtId="49" fontId="2" fillId="0" borderId="42" xfId="34" applyNumberFormat="1" applyFont="1" applyBorder="1" applyAlignment="1">
      <alignment wrapText="1"/>
      <protection/>
    </xf>
    <xf numFmtId="0" fontId="6" fillId="0" borderId="47" xfId="34" applyFont="1" applyBorder="1" applyAlignment="1">
      <alignment horizontal="left"/>
      <protection/>
    </xf>
    <xf numFmtId="0" fontId="6" fillId="0" borderId="30" xfId="34" applyFont="1" applyBorder="1" applyAlignment="1">
      <alignment horizontal="left"/>
      <protection/>
    </xf>
    <xf numFmtId="0" fontId="6" fillId="0" borderId="50" xfId="34" applyFont="1" applyBorder="1" applyAlignment="1">
      <alignment horizontal="left"/>
      <protection/>
    </xf>
    <xf numFmtId="49" fontId="2" fillId="0" borderId="11" xfId="34" applyNumberFormat="1" applyFont="1" applyBorder="1" applyAlignment="1">
      <alignment wrapText="1"/>
      <protection/>
    </xf>
    <xf numFmtId="49" fontId="2" fillId="0" borderId="29" xfId="34" applyNumberFormat="1" applyFont="1" applyBorder="1" applyAlignment="1">
      <alignment wrapText="1"/>
      <protection/>
    </xf>
    <xf numFmtId="49" fontId="2" fillId="0" borderId="28" xfId="34" applyNumberFormat="1" applyFont="1" applyBorder="1" applyAlignment="1">
      <alignment wrapText="1"/>
      <protection/>
    </xf>
    <xf numFmtId="0" fontId="2" fillId="0" borderId="11" xfId="34" applyFont="1" applyBorder="1" applyAlignment="1">
      <alignment wrapText="1"/>
      <protection/>
    </xf>
    <xf numFmtId="0" fontId="2" fillId="0" borderId="29" xfId="34" applyFont="1" applyBorder="1" applyAlignment="1">
      <alignment wrapText="1"/>
      <protection/>
    </xf>
    <xf numFmtId="0" fontId="2" fillId="0" borderId="28" xfId="34" applyFont="1" applyBorder="1" applyAlignment="1">
      <alignment wrapText="1"/>
      <protection/>
    </xf>
    <xf numFmtId="0" fontId="13" fillId="0" borderId="52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49" fontId="15" fillId="0" borderId="14" xfId="34" applyNumberFormat="1" applyFont="1" applyBorder="1" applyAlignment="1">
      <alignment horizontal="center"/>
      <protection/>
    </xf>
    <xf numFmtId="49" fontId="15" fillId="0" borderId="13" xfId="34" applyNumberFormat="1" applyFont="1" applyBorder="1" applyAlignment="1">
      <alignment horizontal="center"/>
      <protection/>
    </xf>
    <xf numFmtId="49" fontId="15" fillId="0" borderId="48" xfId="34" applyNumberFormat="1" applyFont="1" applyBorder="1" applyAlignment="1">
      <alignment horizontal="center"/>
      <protection/>
    </xf>
    <xf numFmtId="49" fontId="16" fillId="0" borderId="22" xfId="34" applyNumberFormat="1" applyFont="1" applyBorder="1" applyAlignment="1">
      <alignment horizontal="center" wrapText="1"/>
      <protection/>
    </xf>
    <xf numFmtId="49" fontId="16" fillId="0" borderId="20" xfId="34" applyNumberFormat="1" applyFont="1" applyBorder="1" applyAlignment="1">
      <alignment horizontal="center" wrapText="1"/>
      <protection/>
    </xf>
    <xf numFmtId="49" fontId="16" fillId="0" borderId="19" xfId="34" applyNumberFormat="1" applyFont="1" applyBorder="1" applyAlignment="1">
      <alignment horizontal="center" wrapText="1"/>
      <protection/>
    </xf>
    <xf numFmtId="0" fontId="10" fillId="0" borderId="34" xfId="34" applyFont="1" applyFill="1" applyBorder="1" applyAlignment="1">
      <alignment horizontal="center" vertical="center" wrapText="1"/>
      <protection/>
    </xf>
    <xf numFmtId="0" fontId="10" fillId="0" borderId="35" xfId="34" applyFont="1" applyFill="1" applyBorder="1" applyAlignment="1">
      <alignment horizontal="center" vertical="center" wrapText="1"/>
      <protection/>
    </xf>
    <xf numFmtId="180" fontId="2" fillId="0" borderId="64" xfId="34" applyNumberFormat="1" applyFont="1" applyBorder="1" applyAlignment="1">
      <alignment horizontal="center" vertical="center" wrapText="1"/>
      <protection/>
    </xf>
    <xf numFmtId="180" fontId="2" fillId="0" borderId="52" xfId="34" applyNumberFormat="1" applyFont="1" applyBorder="1" applyAlignment="1">
      <alignment horizontal="center" vertical="center" wrapText="1"/>
      <protection/>
    </xf>
    <xf numFmtId="0" fontId="2" fillId="0" borderId="34" xfId="34" applyFont="1" applyBorder="1" applyAlignment="1">
      <alignment horizontal="center" vertical="center" wrapText="1"/>
      <protection/>
    </xf>
    <xf numFmtId="0" fontId="2" fillId="0" borderId="35" xfId="34" applyFont="1" applyBorder="1" applyAlignment="1">
      <alignment horizontal="center" vertical="center" wrapText="1"/>
      <protection/>
    </xf>
    <xf numFmtId="180" fontId="2" fillId="0" borderId="34" xfId="34" applyNumberFormat="1" applyFont="1" applyBorder="1" applyAlignment="1">
      <alignment horizontal="center" vertical="center" wrapText="1"/>
      <protection/>
    </xf>
    <xf numFmtId="180" fontId="2" fillId="0" borderId="35" xfId="34" applyNumberFormat="1" applyFont="1" applyBorder="1" applyAlignment="1">
      <alignment horizontal="center" vertical="center" wrapText="1"/>
      <protection/>
    </xf>
    <xf numFmtId="180" fontId="2" fillId="0" borderId="31" xfId="34" applyNumberFormat="1" applyFont="1" applyBorder="1" applyAlignment="1">
      <alignment horizontal="center" vertical="center" wrapText="1"/>
      <protection/>
    </xf>
    <xf numFmtId="180" fontId="2" fillId="0" borderId="43" xfId="34" applyNumberFormat="1" applyFont="1" applyBorder="1" applyAlignment="1">
      <alignment horizontal="center" vertical="center" wrapText="1"/>
      <protection/>
    </xf>
    <xf numFmtId="0" fontId="14" fillId="0" borderId="22" xfId="34" applyFont="1" applyBorder="1" applyAlignment="1">
      <alignment horizontal="center" vertical="center"/>
      <protection/>
    </xf>
    <xf numFmtId="0" fontId="14" fillId="0" borderId="20" xfId="34" applyFont="1" applyBorder="1" applyAlignment="1">
      <alignment horizontal="center" vertical="center"/>
      <protection/>
    </xf>
    <xf numFmtId="0" fontId="14" fillId="0" borderId="19" xfId="34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79" xfId="34" applyFont="1" applyBorder="1" applyAlignment="1">
      <alignment horizontal="center" vertical="center"/>
      <protection/>
    </xf>
    <xf numFmtId="0" fontId="14" fillId="0" borderId="71" xfId="34" applyFont="1" applyBorder="1" applyAlignment="1">
      <alignment horizontal="center" vertical="center"/>
      <protection/>
    </xf>
    <xf numFmtId="0" fontId="14" fillId="0" borderId="72" xfId="34" applyFont="1" applyBorder="1" applyAlignment="1">
      <alignment horizontal="center" vertical="center"/>
      <protection/>
    </xf>
    <xf numFmtId="0" fontId="14" fillId="0" borderId="80" xfId="34" applyFont="1" applyBorder="1" applyAlignment="1">
      <alignment horizontal="center" vertical="center"/>
      <protection/>
    </xf>
    <xf numFmtId="0" fontId="14" fillId="0" borderId="44" xfId="34" applyFont="1" applyBorder="1" applyAlignment="1">
      <alignment horizontal="center" vertical="center"/>
      <protection/>
    </xf>
    <xf numFmtId="0" fontId="14" fillId="0" borderId="73" xfId="34" applyFont="1" applyBorder="1" applyAlignment="1">
      <alignment horizontal="center" vertical="center"/>
      <protection/>
    </xf>
    <xf numFmtId="0" fontId="2" fillId="0" borderId="64" xfId="34" applyFont="1" applyBorder="1" applyAlignment="1">
      <alignment horizontal="center" vertical="center" wrapText="1"/>
      <protection/>
    </xf>
    <xf numFmtId="0" fontId="2" fillId="0" borderId="52" xfId="34" applyFont="1" applyBorder="1" applyAlignment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180" fontId="2" fillId="0" borderId="12" xfId="34" applyNumberFormat="1" applyFont="1" applyFill="1" applyBorder="1" applyAlignment="1">
      <alignment horizontal="center" vertical="center"/>
      <protection/>
    </xf>
    <xf numFmtId="180" fontId="2" fillId="0" borderId="15" xfId="34" applyNumberFormat="1" applyFont="1" applyFill="1" applyBorder="1" applyAlignment="1">
      <alignment horizontal="center" vertical="center"/>
      <protection/>
    </xf>
    <xf numFmtId="180" fontId="31" fillId="34" borderId="0" xfId="33" applyNumberFormat="1" applyFont="1" applyFill="1" applyBorder="1" applyAlignment="1">
      <alignment horizontal="left"/>
      <protection/>
    </xf>
    <xf numFmtId="180" fontId="5" fillId="0" borderId="34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horizontal="center" vertical="center" wrapText="1"/>
    </xf>
    <xf numFmtId="2" fontId="7" fillId="0" borderId="22" xfId="33" applyNumberFormat="1" applyFont="1" applyFill="1" applyBorder="1" applyAlignment="1">
      <alignment horizontal="center"/>
      <protection/>
    </xf>
    <xf numFmtId="2" fontId="7" fillId="0" borderId="20" xfId="33" applyNumberFormat="1" applyFont="1" applyFill="1" applyBorder="1" applyAlignment="1">
      <alignment horizontal="center"/>
      <protection/>
    </xf>
    <xf numFmtId="2" fontId="7" fillId="0" borderId="19" xfId="33" applyNumberFormat="1" applyFont="1" applyFill="1" applyBorder="1" applyAlignment="1">
      <alignment horizontal="center"/>
      <protection/>
    </xf>
    <xf numFmtId="180" fontId="7" fillId="0" borderId="0" xfId="33" applyNumberFormat="1" applyFont="1" applyFill="1" applyBorder="1" applyAlignment="1">
      <alignment horizontal="left"/>
      <protection/>
    </xf>
    <xf numFmtId="180" fontId="7" fillId="0" borderId="64" xfId="33" applyNumberFormat="1" applyFont="1" applyFill="1" applyBorder="1" applyAlignment="1">
      <alignment horizontal="center"/>
      <protection/>
    </xf>
    <xf numFmtId="180" fontId="7" fillId="0" borderId="52" xfId="33" applyNumberFormat="1" applyFont="1" applyFill="1" applyBorder="1" applyAlignment="1">
      <alignment horizontal="center"/>
      <protection/>
    </xf>
    <xf numFmtId="180" fontId="4" fillId="0" borderId="64" xfId="33" applyNumberFormat="1" applyFont="1" applyFill="1" applyBorder="1" applyAlignment="1">
      <alignment horizontal="center"/>
      <protection/>
    </xf>
    <xf numFmtId="180" fontId="4" fillId="0" borderId="23" xfId="33" applyNumberFormat="1" applyFont="1" applyFill="1" applyBorder="1" applyAlignment="1">
      <alignment horizontal="center"/>
      <protection/>
    </xf>
    <xf numFmtId="180" fontId="4" fillId="0" borderId="76" xfId="33" applyNumberFormat="1" applyFont="1" applyFill="1" applyBorder="1" applyAlignment="1">
      <alignment horizontal="center"/>
      <protection/>
    </xf>
    <xf numFmtId="180" fontId="7" fillId="0" borderId="20" xfId="33" applyNumberFormat="1" applyFont="1" applyFill="1" applyBorder="1" applyAlignment="1">
      <alignment horizontal="center"/>
      <protection/>
    </xf>
    <xf numFmtId="180" fontId="7" fillId="0" borderId="19" xfId="33" applyNumberFormat="1" applyFont="1" applyFill="1" applyBorder="1" applyAlignment="1">
      <alignment horizontal="center"/>
      <protection/>
    </xf>
    <xf numFmtId="180" fontId="7" fillId="0" borderId="22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1" xfId="34" applyFont="1" applyFill="1" applyBorder="1" applyAlignment="1">
      <alignment horizontal="left" wrapText="1"/>
      <protection/>
    </xf>
    <xf numFmtId="0" fontId="2" fillId="0" borderId="29" xfId="34" applyFont="1" applyFill="1" applyBorder="1" applyAlignment="1">
      <alignment horizontal="left" wrapText="1"/>
      <protection/>
    </xf>
    <xf numFmtId="0" fontId="2" fillId="0" borderId="28" xfId="34" applyFont="1" applyFill="1" applyBorder="1" applyAlignment="1">
      <alignment horizontal="left" wrapText="1"/>
      <protection/>
    </xf>
    <xf numFmtId="0" fontId="2" fillId="0" borderId="6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7" xfId="34" applyFont="1" applyFill="1" applyBorder="1" applyAlignment="1">
      <alignment horizontal="left"/>
      <protection/>
    </xf>
    <xf numFmtId="0" fontId="2" fillId="0" borderId="17" xfId="34" applyFont="1" applyFill="1" applyBorder="1" applyAlignment="1">
      <alignment horizontal="left"/>
      <protection/>
    </xf>
    <xf numFmtId="0" fontId="2" fillId="0" borderId="36" xfId="34" applyFont="1" applyFill="1" applyBorder="1" applyAlignment="1">
      <alignment horizontal="left"/>
      <protection/>
    </xf>
    <xf numFmtId="49" fontId="20" fillId="0" borderId="11" xfId="34" applyNumberFormat="1" applyFont="1" applyFill="1" applyBorder="1" applyAlignment="1">
      <alignment horizontal="center" wrapText="1"/>
      <protection/>
    </xf>
    <xf numFmtId="49" fontId="20" fillId="0" borderId="29" xfId="34" applyNumberFormat="1" applyFont="1" applyFill="1" applyBorder="1" applyAlignment="1">
      <alignment horizontal="center" wrapText="1"/>
      <protection/>
    </xf>
    <xf numFmtId="49" fontId="20" fillId="0" borderId="28" xfId="34" applyNumberFormat="1" applyFont="1" applyFill="1" applyBorder="1" applyAlignment="1">
      <alignment horizontal="center" wrapText="1"/>
      <protection/>
    </xf>
    <xf numFmtId="49" fontId="2" fillId="0" borderId="57" xfId="34" applyNumberFormat="1" applyFont="1" applyFill="1" applyBorder="1" applyAlignment="1">
      <alignment horizontal="left" wrapText="1"/>
      <protection/>
    </xf>
    <xf numFmtId="49" fontId="2" fillId="0" borderId="17" xfId="34" applyNumberFormat="1" applyFont="1" applyFill="1" applyBorder="1" applyAlignment="1">
      <alignment horizontal="left" wrapText="1"/>
      <protection/>
    </xf>
    <xf numFmtId="49" fontId="2" fillId="0" borderId="36" xfId="34" applyNumberFormat="1" applyFont="1" applyFill="1" applyBorder="1" applyAlignment="1">
      <alignment horizontal="left" wrapText="1"/>
      <protection/>
    </xf>
    <xf numFmtId="0" fontId="10" fillId="0" borderId="76" xfId="34" applyFont="1" applyFill="1" applyBorder="1" applyAlignment="1">
      <alignment horizontal="center" wrapText="1"/>
      <protection/>
    </xf>
    <xf numFmtId="0" fontId="10" fillId="0" borderId="78" xfId="34" applyFont="1" applyFill="1" applyBorder="1" applyAlignment="1">
      <alignment horizontal="center" wrapText="1"/>
      <protection/>
    </xf>
    <xf numFmtId="0" fontId="2" fillId="0" borderId="80" xfId="34" applyFont="1" applyFill="1" applyBorder="1" applyAlignment="1">
      <alignment horizontal="left"/>
      <protection/>
    </xf>
    <xf numFmtId="0" fontId="2" fillId="0" borderId="44" xfId="34" applyFont="1" applyFill="1" applyBorder="1" applyAlignment="1">
      <alignment horizontal="left"/>
      <protection/>
    </xf>
    <xf numFmtId="0" fontId="19" fillId="0" borderId="22" xfId="34" applyFont="1" applyFill="1" applyBorder="1" applyAlignment="1">
      <alignment horizontal="left"/>
      <protection/>
    </xf>
    <xf numFmtId="0" fontId="19" fillId="0" borderId="20" xfId="34" applyFont="1" applyFill="1" applyBorder="1" applyAlignment="1">
      <alignment horizontal="left"/>
      <protection/>
    </xf>
    <xf numFmtId="0" fontId="19" fillId="0" borderId="19" xfId="34" applyFont="1" applyFill="1" applyBorder="1" applyAlignment="1">
      <alignment horizontal="left"/>
      <protection/>
    </xf>
    <xf numFmtId="0" fontId="2" fillId="0" borderId="21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left"/>
      <protection/>
    </xf>
    <xf numFmtId="0" fontId="2" fillId="0" borderId="82" xfId="34" applyFont="1" applyFill="1" applyBorder="1" applyAlignment="1">
      <alignment horizontal="left"/>
      <protection/>
    </xf>
    <xf numFmtId="0" fontId="2" fillId="0" borderId="11" xfId="34" applyFont="1" applyFill="1" applyBorder="1" applyAlignment="1">
      <alignment horizontal="left"/>
      <protection/>
    </xf>
    <xf numFmtId="0" fontId="2" fillId="0" borderId="29" xfId="34" applyFont="1" applyFill="1" applyBorder="1" applyAlignment="1">
      <alignment horizontal="left"/>
      <protection/>
    </xf>
    <xf numFmtId="0" fontId="2" fillId="0" borderId="28" xfId="34" applyFont="1" applyFill="1" applyBorder="1" applyAlignment="1">
      <alignment horizontal="left"/>
      <protection/>
    </xf>
    <xf numFmtId="49" fontId="2" fillId="0" borderId="58" xfId="34" applyNumberFormat="1" applyFont="1" applyFill="1" applyBorder="1" applyAlignment="1">
      <alignment horizontal="left"/>
      <protection/>
    </xf>
    <xf numFmtId="49" fontId="2" fillId="0" borderId="37" xfId="34" applyNumberFormat="1" applyFont="1" applyFill="1" applyBorder="1" applyAlignment="1">
      <alignment horizontal="left"/>
      <protection/>
    </xf>
    <xf numFmtId="49" fontId="2" fillId="0" borderId="63" xfId="34" applyNumberFormat="1" applyFont="1" applyFill="1" applyBorder="1" applyAlignment="1">
      <alignment horizontal="left"/>
      <protection/>
    </xf>
    <xf numFmtId="0" fontId="2" fillId="0" borderId="10" xfId="34" applyFont="1" applyFill="1" applyBorder="1" applyAlignment="1">
      <alignment horizontal="left"/>
      <protection/>
    </xf>
    <xf numFmtId="0" fontId="2" fillId="0" borderId="26" xfId="34" applyFont="1" applyFill="1" applyBorder="1" applyAlignment="1">
      <alignment horizontal="left"/>
      <protection/>
    </xf>
    <xf numFmtId="0" fontId="2" fillId="0" borderId="25" xfId="34" applyFont="1" applyFill="1" applyBorder="1" applyAlignment="1">
      <alignment horizontal="left"/>
      <protection/>
    </xf>
    <xf numFmtId="0" fontId="13" fillId="0" borderId="0" xfId="0" applyFont="1" applyFill="1" applyAlignment="1">
      <alignment horizontal="center"/>
    </xf>
    <xf numFmtId="0" fontId="14" fillId="0" borderId="79" xfId="34" applyFont="1" applyFill="1" applyBorder="1" applyAlignment="1">
      <alignment horizontal="center" vertical="center"/>
      <protection/>
    </xf>
    <xf numFmtId="0" fontId="14" fillId="0" borderId="71" xfId="34" applyFont="1" applyFill="1" applyBorder="1" applyAlignment="1">
      <alignment horizontal="center" vertical="center"/>
      <protection/>
    </xf>
    <xf numFmtId="0" fontId="14" fillId="0" borderId="72" xfId="34" applyFont="1" applyFill="1" applyBorder="1" applyAlignment="1">
      <alignment horizontal="center" vertical="center"/>
      <protection/>
    </xf>
    <xf numFmtId="0" fontId="14" fillId="0" borderId="80" xfId="34" applyFont="1" applyFill="1" applyBorder="1" applyAlignment="1">
      <alignment horizontal="center" vertical="center"/>
      <protection/>
    </xf>
    <xf numFmtId="0" fontId="14" fillId="0" borderId="44" xfId="34" applyFont="1" applyFill="1" applyBorder="1" applyAlignment="1">
      <alignment horizontal="center" vertical="center"/>
      <protection/>
    </xf>
    <xf numFmtId="0" fontId="14" fillId="0" borderId="73" xfId="34" applyFont="1" applyFill="1" applyBorder="1" applyAlignment="1">
      <alignment horizontal="center" vertical="center"/>
      <protection/>
    </xf>
    <xf numFmtId="0" fontId="2" fillId="0" borderId="34" xfId="34" applyFont="1" applyFill="1" applyBorder="1" applyAlignment="1">
      <alignment horizontal="center" vertical="center" wrapText="1"/>
      <protection/>
    </xf>
    <xf numFmtId="0" fontId="2" fillId="0" borderId="35" xfId="34" applyFont="1" applyFill="1" applyBorder="1" applyAlignment="1">
      <alignment horizontal="center" vertical="center" wrapText="1"/>
      <protection/>
    </xf>
    <xf numFmtId="180" fontId="2" fillId="0" borderId="31" xfId="34" applyNumberFormat="1" applyFont="1" applyFill="1" applyBorder="1" applyAlignment="1">
      <alignment horizontal="center" vertical="center" wrapText="1"/>
      <protection/>
    </xf>
    <xf numFmtId="180" fontId="2" fillId="0" borderId="43" xfId="34" applyNumberFormat="1" applyFont="1" applyFill="1" applyBorder="1" applyAlignment="1">
      <alignment horizontal="center" vertical="center" wrapText="1"/>
      <protection/>
    </xf>
    <xf numFmtId="180" fontId="2" fillId="0" borderId="64" xfId="34" applyNumberFormat="1" applyFont="1" applyFill="1" applyBorder="1" applyAlignment="1">
      <alignment horizontal="center" vertical="center" wrapText="1"/>
      <protection/>
    </xf>
    <xf numFmtId="180" fontId="2" fillId="0" borderId="52" xfId="34" applyNumberFormat="1" applyFont="1" applyFill="1" applyBorder="1" applyAlignment="1">
      <alignment horizontal="center" vertical="center" wrapText="1"/>
      <protection/>
    </xf>
    <xf numFmtId="49" fontId="15" fillId="0" borderId="11" xfId="34" applyNumberFormat="1" applyFont="1" applyFill="1" applyBorder="1" applyAlignment="1">
      <alignment horizontal="center"/>
      <protection/>
    </xf>
    <xf numFmtId="49" fontId="15" fillId="0" borderId="29" xfId="34" applyNumberFormat="1" applyFont="1" applyFill="1" applyBorder="1" applyAlignment="1">
      <alignment horizontal="center"/>
      <protection/>
    </xf>
    <xf numFmtId="49" fontId="15" fillId="0" borderId="28" xfId="34" applyNumberFormat="1" applyFont="1" applyFill="1" applyBorder="1" applyAlignment="1">
      <alignment horizontal="center"/>
      <protection/>
    </xf>
    <xf numFmtId="180" fontId="2" fillId="0" borderId="34" xfId="34" applyNumberFormat="1" applyFont="1" applyFill="1" applyBorder="1" applyAlignment="1">
      <alignment horizontal="center" vertical="center" wrapText="1"/>
      <protection/>
    </xf>
    <xf numFmtId="180" fontId="2" fillId="0" borderId="35" xfId="34" applyNumberFormat="1" applyFont="1" applyFill="1" applyBorder="1" applyAlignment="1">
      <alignment horizontal="center" vertical="center" wrapText="1"/>
      <protection/>
    </xf>
    <xf numFmtId="49" fontId="22" fillId="0" borderId="79" xfId="34" applyNumberFormat="1" applyFont="1" applyFill="1" applyBorder="1" applyAlignment="1">
      <alignment horizontal="center"/>
      <protection/>
    </xf>
    <xf numFmtId="49" fontId="22" fillId="0" borderId="71" xfId="34" applyNumberFormat="1" applyFont="1" applyFill="1" applyBorder="1" applyAlignment="1">
      <alignment horizontal="center"/>
      <protection/>
    </xf>
    <xf numFmtId="49" fontId="22" fillId="0" borderId="72" xfId="34" applyNumberFormat="1" applyFont="1" applyFill="1" applyBorder="1" applyAlignment="1">
      <alignment horizontal="center"/>
      <protection/>
    </xf>
    <xf numFmtId="49" fontId="2" fillId="0" borderId="11" xfId="34" applyNumberFormat="1" applyFont="1" applyFill="1" applyBorder="1" applyAlignment="1">
      <alignment horizontal="left" wrapText="1"/>
      <protection/>
    </xf>
    <xf numFmtId="49" fontId="2" fillId="0" borderId="29" xfId="34" applyNumberFormat="1" applyFont="1" applyFill="1" applyBorder="1" applyAlignment="1">
      <alignment horizontal="left" wrapText="1"/>
      <protection/>
    </xf>
    <xf numFmtId="49" fontId="2" fillId="0" borderId="28" xfId="34" applyNumberFormat="1" applyFont="1" applyFill="1" applyBorder="1" applyAlignment="1">
      <alignment horizontal="left" wrapText="1"/>
      <protection/>
    </xf>
    <xf numFmtId="0" fontId="20" fillId="0" borderId="14" xfId="34" applyFont="1" applyFill="1" applyBorder="1" applyAlignment="1">
      <alignment horizontal="left"/>
      <protection/>
    </xf>
    <xf numFmtId="0" fontId="20" fillId="0" borderId="13" xfId="34" applyFont="1" applyFill="1" applyBorder="1" applyAlignment="1">
      <alignment horizontal="left"/>
      <protection/>
    </xf>
    <xf numFmtId="0" fontId="20" fillId="0" borderId="48" xfId="34" applyFont="1" applyFill="1" applyBorder="1" applyAlignment="1">
      <alignment horizontal="left"/>
      <protection/>
    </xf>
    <xf numFmtId="180" fontId="25" fillId="32" borderId="22" xfId="0" applyNumberFormat="1" applyFont="1" applyFill="1" applyBorder="1" applyAlignment="1">
      <alignment horizontal="left"/>
    </xf>
    <xf numFmtId="180" fontId="25" fillId="32" borderId="20" xfId="0" applyNumberFormat="1" applyFont="1" applyFill="1" applyBorder="1" applyAlignment="1">
      <alignment horizontal="left"/>
    </xf>
    <xf numFmtId="2" fontId="37" fillId="36" borderId="22" xfId="0" applyNumberFormat="1" applyFont="1" applyFill="1" applyBorder="1" applyAlignment="1">
      <alignment horizontal="center"/>
    </xf>
    <xf numFmtId="2" fontId="37" fillId="36" borderId="20" xfId="0" applyNumberFormat="1" applyFont="1" applyFill="1" applyBorder="1" applyAlignment="1">
      <alignment horizontal="center"/>
    </xf>
    <xf numFmtId="2" fontId="28" fillId="32" borderId="22" xfId="0" applyNumberFormat="1" applyFont="1" applyFill="1" applyBorder="1" applyAlignment="1">
      <alignment horizontal="left"/>
    </xf>
    <xf numFmtId="2" fontId="28" fillId="32" borderId="20" xfId="0" applyNumberFormat="1" applyFont="1" applyFill="1" applyBorder="1" applyAlignment="1">
      <alignment horizontal="left"/>
    </xf>
    <xf numFmtId="2" fontId="3" fillId="0" borderId="47" xfId="33" applyNumberFormat="1" applyFont="1" applyFill="1" applyBorder="1" applyAlignment="1">
      <alignment horizontal="left"/>
      <protection/>
    </xf>
    <xf numFmtId="2" fontId="3" fillId="0" borderId="30" xfId="33" applyNumberFormat="1" applyFont="1" applyFill="1" applyBorder="1" applyAlignment="1">
      <alignment horizontal="left"/>
      <protection/>
    </xf>
    <xf numFmtId="2" fontId="29" fillId="32" borderId="22" xfId="0" applyNumberFormat="1" applyFont="1" applyFill="1" applyBorder="1" applyAlignment="1">
      <alignment horizontal="left"/>
    </xf>
    <xf numFmtId="2" fontId="29" fillId="32" borderId="20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2" fontId="3" fillId="0" borderId="29" xfId="0" applyNumberFormat="1" applyFont="1" applyFill="1" applyBorder="1" applyAlignment="1">
      <alignment horizontal="left"/>
    </xf>
    <xf numFmtId="180" fontId="3" fillId="0" borderId="83" xfId="0" applyNumberFormat="1" applyFont="1" applyFill="1" applyBorder="1" applyAlignment="1">
      <alignment horizontal="left"/>
    </xf>
    <xf numFmtId="180" fontId="3" fillId="0" borderId="46" xfId="0" applyNumberFormat="1" applyFont="1" applyFill="1" applyBorder="1" applyAlignment="1">
      <alignment horizontal="left"/>
    </xf>
    <xf numFmtId="2" fontId="3" fillId="0" borderId="11" xfId="33" applyNumberFormat="1" applyFont="1" applyFill="1" applyBorder="1" applyAlignment="1">
      <alignment horizontal="left"/>
      <protection/>
    </xf>
    <xf numFmtId="2" fontId="3" fillId="0" borderId="29" xfId="33" applyNumberFormat="1" applyFont="1" applyFill="1" applyBorder="1" applyAlignment="1">
      <alignment horizontal="left"/>
      <protection/>
    </xf>
    <xf numFmtId="180" fontId="38" fillId="0" borderId="34" xfId="0" applyNumberFormat="1" applyFont="1" applyFill="1" applyBorder="1" applyAlignment="1">
      <alignment horizontal="center" vertical="center" wrapText="1"/>
    </xf>
    <xf numFmtId="180" fontId="38" fillId="0" borderId="35" xfId="0" applyNumberFormat="1" applyFont="1" applyFill="1" applyBorder="1" applyAlignment="1">
      <alignment horizontal="center" vertical="center" wrapText="1"/>
    </xf>
    <xf numFmtId="180" fontId="38" fillId="0" borderId="64" xfId="0" applyNumberFormat="1" applyFont="1" applyFill="1" applyBorder="1" applyAlignment="1">
      <alignment horizontal="center" vertical="center" wrapText="1"/>
    </xf>
    <xf numFmtId="180" fontId="38" fillId="0" borderId="52" xfId="0" applyNumberFormat="1" applyFont="1" applyFill="1" applyBorder="1" applyAlignment="1">
      <alignment horizontal="center" vertical="center" wrapText="1"/>
    </xf>
    <xf numFmtId="2" fontId="38" fillId="0" borderId="34" xfId="0" applyNumberFormat="1" applyFont="1" applyFill="1" applyBorder="1" applyAlignment="1">
      <alignment horizontal="center" vertical="center"/>
    </xf>
    <xf numFmtId="2" fontId="38" fillId="0" borderId="35" xfId="0" applyNumberFormat="1" applyFont="1" applyFill="1" applyBorder="1" applyAlignment="1">
      <alignment horizontal="center" vertical="center"/>
    </xf>
    <xf numFmtId="2" fontId="38" fillId="0" borderId="23" xfId="0" applyNumberFormat="1" applyFont="1" applyFill="1" applyBorder="1" applyAlignment="1">
      <alignment horizontal="center" vertical="center"/>
    </xf>
    <xf numFmtId="2" fontId="38" fillId="0" borderId="77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center" vertical="center" wrapText="1"/>
    </xf>
    <xf numFmtId="2" fontId="37" fillId="0" borderId="77" xfId="0" applyNumberFormat="1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2" fontId="38" fillId="36" borderId="31" xfId="0" applyNumberFormat="1" applyFont="1" applyFill="1" applyBorder="1" applyAlignment="1">
      <alignment horizontal="center" vertical="center"/>
    </xf>
    <xf numFmtId="2" fontId="38" fillId="36" borderId="43" xfId="0" applyNumberFormat="1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80" fontId="33" fillId="35" borderId="53" xfId="33" applyNumberFormat="1" applyFont="1" applyFill="1" applyBorder="1" applyAlignment="1">
      <alignment horizontal="left" vertical="center"/>
      <protection/>
    </xf>
    <xf numFmtId="180" fontId="33" fillId="35" borderId="17" xfId="33" applyNumberFormat="1" applyFont="1" applyFill="1" applyBorder="1" applyAlignment="1">
      <alignment horizontal="left" vertical="center"/>
      <protection/>
    </xf>
    <xf numFmtId="0" fontId="34" fillId="0" borderId="11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180" fontId="33" fillId="39" borderId="12" xfId="33" applyNumberFormat="1" applyFont="1" applyFill="1" applyBorder="1" applyAlignment="1">
      <alignment horizontal="center" vertical="center"/>
      <protection/>
    </xf>
    <xf numFmtId="180" fontId="33" fillId="39" borderId="13" xfId="33" applyNumberFormat="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80" fontId="33" fillId="35" borderId="26" xfId="33" applyNumberFormat="1" applyFont="1" applyFill="1" applyBorder="1" applyAlignment="1">
      <alignment horizontal="left" vertical="center"/>
      <protection/>
    </xf>
    <xf numFmtId="180" fontId="33" fillId="35" borderId="59" xfId="33" applyNumberFormat="1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33" fillId="40" borderId="12" xfId="33" applyNumberFormat="1" applyFont="1" applyFill="1" applyBorder="1" applyAlignment="1">
      <alignment horizontal="center" vertical="center"/>
      <protection/>
    </xf>
    <xf numFmtId="180" fontId="33" fillId="40" borderId="13" xfId="33" applyNumberFormat="1" applyFont="1" applyFill="1" applyBorder="1" applyAlignment="1">
      <alignment horizontal="center" vertical="center"/>
      <protection/>
    </xf>
    <xf numFmtId="180" fontId="33" fillId="35" borderId="60" xfId="33" applyNumberFormat="1" applyFont="1" applyFill="1" applyBorder="1" applyAlignment="1">
      <alignment horizontal="left" vertical="center"/>
      <protection/>
    </xf>
    <xf numFmtId="180" fontId="33" fillId="35" borderId="55" xfId="33" applyNumberFormat="1" applyFont="1" applyFill="1" applyBorder="1" applyAlignment="1">
      <alignment horizontal="left" vertical="center"/>
      <protection/>
    </xf>
    <xf numFmtId="180" fontId="33" fillId="35" borderId="18" xfId="33" applyNumberFormat="1" applyFont="1" applyFill="1" applyBorder="1" applyAlignment="1">
      <alignment horizontal="left" vertical="center"/>
      <protection/>
    </xf>
    <xf numFmtId="180" fontId="33" fillId="40" borderId="22" xfId="33" applyNumberFormat="1" applyFont="1" applyFill="1" applyBorder="1" applyAlignment="1">
      <alignment horizontal="center" vertical="center" wrapText="1"/>
      <protection/>
    </xf>
    <xf numFmtId="180" fontId="33" fillId="40" borderId="20" xfId="33" applyNumberFormat="1" applyFont="1" applyFill="1" applyBorder="1" applyAlignment="1">
      <alignment horizontal="center" vertical="center" wrapText="1"/>
      <protection/>
    </xf>
    <xf numFmtId="180" fontId="33" fillId="40" borderId="12" xfId="3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SheetLayoutView="100" workbookViewId="0" topLeftCell="A14">
      <selection activeCell="M25" sqref="M25"/>
    </sheetView>
  </sheetViews>
  <sheetFormatPr defaultColWidth="9.140625" defaultRowHeight="12.75"/>
  <cols>
    <col min="1" max="1" width="25.8515625" style="233" customWidth="1"/>
    <col min="2" max="2" width="4.8515625" style="234" customWidth="1"/>
    <col min="3" max="3" width="7.421875" style="234" hidden="1" customWidth="1"/>
    <col min="4" max="4" width="10.57421875" style="234" customWidth="1"/>
    <col min="5" max="5" width="12.28125" style="234" customWidth="1"/>
    <col min="6" max="6" width="13.28125" style="234" customWidth="1"/>
    <col min="7" max="7" width="12.140625" style="234" customWidth="1"/>
    <col min="8" max="8" width="10.8515625" style="234" customWidth="1"/>
    <col min="9" max="9" width="9.8515625" style="234" customWidth="1"/>
    <col min="10" max="10" width="9.28125" style="234" customWidth="1"/>
    <col min="11" max="11" width="7.140625" style="234" customWidth="1"/>
    <col min="12" max="12" width="9.28125" style="234" customWidth="1"/>
    <col min="13" max="13" width="7.8515625" style="234" customWidth="1"/>
    <col min="14" max="14" width="5.8515625" style="234" customWidth="1"/>
    <col min="15" max="15" width="10.00390625" style="234" customWidth="1"/>
    <col min="16" max="16" width="7.8515625" style="234" hidden="1" customWidth="1"/>
    <col min="17" max="17" width="10.140625" style="234" customWidth="1"/>
    <col min="18" max="18" width="9.00390625" style="234" customWidth="1"/>
    <col min="19" max="19" width="7.8515625" style="234" customWidth="1"/>
    <col min="20" max="20" width="9.140625" style="234" customWidth="1"/>
    <col min="21" max="21" width="8.140625" style="234" customWidth="1"/>
    <col min="22" max="22" width="12.00390625" style="234" customWidth="1"/>
    <col min="23" max="23" width="8.7109375" style="234" customWidth="1"/>
    <col min="24" max="24" width="6.57421875" style="234" customWidth="1"/>
    <col min="25" max="25" width="13.00390625" style="313" customWidth="1"/>
    <col min="26" max="26" width="12.421875" style="234" hidden="1" customWidth="1"/>
    <col min="27" max="27" width="9.57421875" style="234" customWidth="1"/>
    <col min="28" max="28" width="8.7109375" style="234" customWidth="1"/>
    <col min="29" max="29" width="8.8515625" style="313" customWidth="1"/>
    <col min="30" max="30" width="12.57421875" style="234" customWidth="1"/>
    <col min="31" max="31" width="8.57421875" style="313" customWidth="1"/>
    <col min="32" max="16384" width="9.140625" style="234" customWidth="1"/>
  </cols>
  <sheetData>
    <row r="1" ht="12.75">
      <c r="AA1" s="234" t="s">
        <v>16</v>
      </c>
    </row>
    <row r="2" spans="1:31" s="237" customFormat="1" ht="18" customHeight="1">
      <c r="A2" s="698" t="s">
        <v>224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235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314"/>
      <c r="Z2" s="236"/>
      <c r="AA2" s="236"/>
      <c r="AB2" s="236"/>
      <c r="AC2" s="317"/>
      <c r="AD2" s="236"/>
      <c r="AE2" s="314"/>
    </row>
    <row r="3" ht="12.75">
      <c r="AA3" s="234" t="s">
        <v>16</v>
      </c>
    </row>
    <row r="4" ht="13.5" thickBot="1"/>
    <row r="5" spans="1:31" s="248" customFormat="1" ht="57.75" customHeight="1" thickBot="1">
      <c r="A5" s="238"/>
      <c r="B5" s="239" t="s">
        <v>170</v>
      </c>
      <c r="C5" s="240" t="s">
        <v>112</v>
      </c>
      <c r="D5" s="240"/>
      <c r="E5" s="241" t="s">
        <v>113</v>
      </c>
      <c r="F5" s="242" t="s">
        <v>111</v>
      </c>
      <c r="G5" s="243">
        <v>4111</v>
      </c>
      <c r="H5" s="244">
        <v>4212</v>
      </c>
      <c r="I5" s="244">
        <v>4213</v>
      </c>
      <c r="J5" s="244">
        <v>4214</v>
      </c>
      <c r="K5" s="244">
        <v>4215</v>
      </c>
      <c r="L5" s="245" t="s">
        <v>165</v>
      </c>
      <c r="M5" s="244">
        <v>4234</v>
      </c>
      <c r="N5" s="244">
        <v>4239</v>
      </c>
      <c r="O5" s="244">
        <v>4241</v>
      </c>
      <c r="P5" s="244">
        <v>4251</v>
      </c>
      <c r="Q5" s="244">
        <v>4252</v>
      </c>
      <c r="R5" s="244">
        <v>4261</v>
      </c>
      <c r="S5" s="244">
        <v>4262</v>
      </c>
      <c r="T5" s="244" t="s">
        <v>50</v>
      </c>
      <c r="U5" s="244">
        <v>4266</v>
      </c>
      <c r="V5" s="244" t="s">
        <v>51</v>
      </c>
      <c r="W5" s="244" t="s">
        <v>2</v>
      </c>
      <c r="X5" s="244">
        <v>4823</v>
      </c>
      <c r="Y5" s="315" t="s">
        <v>168</v>
      </c>
      <c r="Z5" s="246" t="s">
        <v>55</v>
      </c>
      <c r="AA5" s="246" t="s">
        <v>49</v>
      </c>
      <c r="AB5" s="246" t="s">
        <v>57</v>
      </c>
      <c r="AC5" s="318" t="s">
        <v>19</v>
      </c>
      <c r="AD5" s="247" t="s">
        <v>166</v>
      </c>
      <c r="AE5" s="316" t="s">
        <v>225</v>
      </c>
    </row>
    <row r="6" spans="1:31" s="262" customFormat="1" ht="28.5" customHeight="1">
      <c r="A6" s="418" t="s">
        <v>184</v>
      </c>
      <c r="B6" s="419"/>
      <c r="C6" s="420"/>
      <c r="D6" s="420"/>
      <c r="E6" s="421">
        <v>23175.7</v>
      </c>
      <c r="F6" s="422">
        <f aca="true" t="shared" si="0" ref="F6:F30">SUM(C6:E6)</f>
        <v>23175.7</v>
      </c>
      <c r="G6" s="423">
        <v>17035.1</v>
      </c>
      <c r="H6" s="261">
        <v>524.6</v>
      </c>
      <c r="I6" s="261">
        <v>182.4</v>
      </c>
      <c r="J6" s="261">
        <v>100.5</v>
      </c>
      <c r="K6" s="261"/>
      <c r="L6" s="261"/>
      <c r="M6" s="261"/>
      <c r="N6" s="261">
        <v>3</v>
      </c>
      <c r="O6" s="261">
        <v>228</v>
      </c>
      <c r="P6" s="261"/>
      <c r="Q6" s="261"/>
      <c r="R6" s="261">
        <v>192.1</v>
      </c>
      <c r="S6" s="261"/>
      <c r="T6" s="261"/>
      <c r="U6" s="261">
        <v>18</v>
      </c>
      <c r="V6" s="261">
        <v>4822.4</v>
      </c>
      <c r="W6" s="261">
        <v>63</v>
      </c>
      <c r="X6" s="261"/>
      <c r="Y6" s="424">
        <f aca="true" t="shared" si="1" ref="Y6:Y17">SUM(G6:X6)</f>
        <v>23169.1</v>
      </c>
      <c r="Z6" s="261"/>
      <c r="AA6" s="261"/>
      <c r="AB6" s="261"/>
      <c r="AC6" s="425">
        <f>SUM(Z6:AB6)</f>
        <v>0</v>
      </c>
      <c r="AD6" s="426">
        <f>SUM(Y6,AC6)</f>
        <v>23169.1</v>
      </c>
      <c r="AE6" s="427">
        <f aca="true" t="shared" si="2" ref="AE6:AE17">B6+F6-AD6</f>
        <v>6.600000000002183</v>
      </c>
    </row>
    <row r="7" spans="1:31" s="262" customFormat="1" ht="28.5" customHeight="1">
      <c r="A7" s="418" t="s">
        <v>185</v>
      </c>
      <c r="B7" s="428"/>
      <c r="C7" s="429"/>
      <c r="D7" s="429"/>
      <c r="E7" s="430">
        <v>18049.3</v>
      </c>
      <c r="F7" s="422">
        <f t="shared" si="0"/>
        <v>18049.3</v>
      </c>
      <c r="G7" s="431">
        <v>13287.5</v>
      </c>
      <c r="H7" s="263">
        <v>463.4</v>
      </c>
      <c r="I7" s="263">
        <v>148.9</v>
      </c>
      <c r="J7" s="263">
        <v>99.1</v>
      </c>
      <c r="K7" s="263"/>
      <c r="L7" s="263"/>
      <c r="M7" s="263"/>
      <c r="N7" s="263">
        <v>3</v>
      </c>
      <c r="O7" s="263">
        <v>210</v>
      </c>
      <c r="P7" s="263"/>
      <c r="Q7" s="263"/>
      <c r="R7" s="263">
        <v>139.3</v>
      </c>
      <c r="S7" s="263"/>
      <c r="T7" s="263"/>
      <c r="U7" s="263">
        <v>13</v>
      </c>
      <c r="V7" s="263">
        <v>3636.9</v>
      </c>
      <c r="W7" s="263">
        <v>45.5</v>
      </c>
      <c r="X7" s="263"/>
      <c r="Y7" s="424">
        <f t="shared" si="1"/>
        <v>18046.6</v>
      </c>
      <c r="Z7" s="263"/>
      <c r="AA7" s="263"/>
      <c r="AB7" s="263"/>
      <c r="AC7" s="425">
        <f aca="true" t="shared" si="3" ref="AC7:AC29">SUM(Z7:AB7)</f>
        <v>0</v>
      </c>
      <c r="AD7" s="426">
        <f aca="true" t="shared" si="4" ref="AD7:AD29">SUM(Y7,AC7)</f>
        <v>18046.6</v>
      </c>
      <c r="AE7" s="427">
        <f t="shared" si="2"/>
        <v>2.7000000000007276</v>
      </c>
    </row>
    <row r="8" spans="1:31" s="262" customFormat="1" ht="28.5" customHeight="1">
      <c r="A8" s="418" t="s">
        <v>186</v>
      </c>
      <c r="B8" s="428"/>
      <c r="C8" s="429"/>
      <c r="D8" s="432"/>
      <c r="E8" s="430">
        <v>17784.3</v>
      </c>
      <c r="F8" s="422">
        <f t="shared" si="0"/>
        <v>17784.3</v>
      </c>
      <c r="G8" s="431">
        <v>12958.3</v>
      </c>
      <c r="H8" s="263">
        <v>366.4</v>
      </c>
      <c r="I8" s="263">
        <v>141.1</v>
      </c>
      <c r="J8" s="263">
        <v>99.2</v>
      </c>
      <c r="K8" s="263"/>
      <c r="L8" s="263"/>
      <c r="M8" s="263"/>
      <c r="N8" s="263">
        <v>3</v>
      </c>
      <c r="O8" s="263">
        <v>189</v>
      </c>
      <c r="P8" s="263"/>
      <c r="Q8" s="263"/>
      <c r="R8" s="263">
        <v>139.3</v>
      </c>
      <c r="S8" s="263"/>
      <c r="T8" s="263"/>
      <c r="U8" s="263">
        <v>13</v>
      </c>
      <c r="V8" s="263">
        <v>3784.5</v>
      </c>
      <c r="W8" s="263">
        <v>88.7</v>
      </c>
      <c r="X8" s="263"/>
      <c r="Y8" s="424">
        <f t="shared" si="1"/>
        <v>17782.5</v>
      </c>
      <c r="Z8" s="263"/>
      <c r="AA8" s="263"/>
      <c r="AB8" s="263"/>
      <c r="AC8" s="425">
        <f t="shared" si="3"/>
        <v>0</v>
      </c>
      <c r="AD8" s="426">
        <f t="shared" si="4"/>
        <v>17782.5</v>
      </c>
      <c r="AE8" s="427">
        <f t="shared" si="2"/>
        <v>1.7999999999992724</v>
      </c>
    </row>
    <row r="9" spans="1:31" s="262" customFormat="1" ht="28.5" customHeight="1">
      <c r="A9" s="418" t="s">
        <v>187</v>
      </c>
      <c r="B9" s="428"/>
      <c r="C9" s="429"/>
      <c r="D9" s="429"/>
      <c r="E9" s="430">
        <v>30470.3</v>
      </c>
      <c r="F9" s="422">
        <f t="shared" si="0"/>
        <v>30470.3</v>
      </c>
      <c r="G9" s="431">
        <v>20359.8</v>
      </c>
      <c r="H9" s="263">
        <v>1334.1</v>
      </c>
      <c r="I9" s="263">
        <v>274.9</v>
      </c>
      <c r="J9" s="263">
        <v>99.3</v>
      </c>
      <c r="K9" s="263"/>
      <c r="L9" s="263"/>
      <c r="M9" s="263"/>
      <c r="N9" s="263"/>
      <c r="O9" s="263">
        <v>315</v>
      </c>
      <c r="P9" s="263"/>
      <c r="Q9" s="263"/>
      <c r="R9" s="263">
        <v>266.4</v>
      </c>
      <c r="S9" s="263"/>
      <c r="T9" s="263"/>
      <c r="U9" s="263">
        <v>28</v>
      </c>
      <c r="V9" s="263">
        <v>7488.9</v>
      </c>
      <c r="W9" s="263">
        <v>98</v>
      </c>
      <c r="X9" s="263"/>
      <c r="Y9" s="424">
        <f t="shared" si="1"/>
        <v>30264.4</v>
      </c>
      <c r="Z9" s="263"/>
      <c r="AA9" s="263">
        <v>203.5</v>
      </c>
      <c r="AB9" s="263"/>
      <c r="AC9" s="425">
        <f t="shared" si="3"/>
        <v>203.5</v>
      </c>
      <c r="AD9" s="426">
        <f t="shared" si="4"/>
        <v>30467.9</v>
      </c>
      <c r="AE9" s="427">
        <f t="shared" si="2"/>
        <v>2.399999999997817</v>
      </c>
    </row>
    <row r="10" spans="1:31" s="262" customFormat="1" ht="28.5" customHeight="1">
      <c r="A10" s="418" t="s">
        <v>188</v>
      </c>
      <c r="B10" s="428"/>
      <c r="C10" s="429"/>
      <c r="D10" s="429"/>
      <c r="E10" s="430">
        <v>18086.2</v>
      </c>
      <c r="F10" s="422">
        <f t="shared" si="0"/>
        <v>18086.2</v>
      </c>
      <c r="G10" s="431">
        <v>13316.3</v>
      </c>
      <c r="H10" s="431">
        <v>536.5</v>
      </c>
      <c r="I10" s="263">
        <v>125.7</v>
      </c>
      <c r="J10" s="263">
        <v>100.5</v>
      </c>
      <c r="K10" s="263"/>
      <c r="L10" s="263"/>
      <c r="M10" s="263"/>
      <c r="N10" s="263">
        <v>3</v>
      </c>
      <c r="O10" s="263">
        <v>186</v>
      </c>
      <c r="P10" s="263"/>
      <c r="Q10" s="263"/>
      <c r="R10" s="263">
        <v>139.3</v>
      </c>
      <c r="S10" s="263"/>
      <c r="T10" s="263"/>
      <c r="U10" s="263">
        <v>13</v>
      </c>
      <c r="V10" s="263">
        <v>3620.5</v>
      </c>
      <c r="W10" s="263">
        <v>44.1</v>
      </c>
      <c r="X10" s="263"/>
      <c r="Y10" s="424">
        <f t="shared" si="1"/>
        <v>18084.899999999998</v>
      </c>
      <c r="Z10" s="263"/>
      <c r="AA10" s="263"/>
      <c r="AB10" s="263"/>
      <c r="AC10" s="425">
        <f t="shared" si="3"/>
        <v>0</v>
      </c>
      <c r="AD10" s="426">
        <f t="shared" si="4"/>
        <v>18084.899999999998</v>
      </c>
      <c r="AE10" s="427">
        <f t="shared" si="2"/>
        <v>1.3000000000029104</v>
      </c>
    </row>
    <row r="11" spans="1:31" s="262" customFormat="1" ht="28.5" customHeight="1">
      <c r="A11" s="418" t="s">
        <v>189</v>
      </c>
      <c r="B11" s="428"/>
      <c r="C11" s="429"/>
      <c r="D11" s="429"/>
      <c r="E11" s="430">
        <v>23083.4</v>
      </c>
      <c r="F11" s="422">
        <f t="shared" si="0"/>
        <v>23083.4</v>
      </c>
      <c r="G11" s="431">
        <v>16681.3</v>
      </c>
      <c r="H11" s="263">
        <v>527.9</v>
      </c>
      <c r="I11" s="263">
        <v>197.6</v>
      </c>
      <c r="J11" s="263">
        <v>100.5</v>
      </c>
      <c r="K11" s="263"/>
      <c r="L11" s="263"/>
      <c r="M11" s="263"/>
      <c r="N11" s="263">
        <v>3</v>
      </c>
      <c r="O11" s="263">
        <v>249</v>
      </c>
      <c r="P11" s="263"/>
      <c r="Q11" s="263"/>
      <c r="R11" s="263">
        <v>192.1</v>
      </c>
      <c r="S11" s="263"/>
      <c r="T11" s="263"/>
      <c r="U11" s="263">
        <v>18</v>
      </c>
      <c r="V11" s="263">
        <v>5049.1</v>
      </c>
      <c r="W11" s="263">
        <v>63</v>
      </c>
      <c r="X11" s="263"/>
      <c r="Y11" s="424">
        <f t="shared" si="1"/>
        <v>23081.5</v>
      </c>
      <c r="Z11" s="263"/>
      <c r="AA11" s="263"/>
      <c r="AB11" s="263"/>
      <c r="AC11" s="425">
        <f t="shared" si="3"/>
        <v>0</v>
      </c>
      <c r="AD11" s="426">
        <f t="shared" si="4"/>
        <v>23081.5</v>
      </c>
      <c r="AE11" s="427">
        <f t="shared" si="2"/>
        <v>1.9000000000014552</v>
      </c>
    </row>
    <row r="12" spans="1:31" s="262" customFormat="1" ht="28.5" customHeight="1">
      <c r="A12" s="418" t="s">
        <v>190</v>
      </c>
      <c r="B12" s="428"/>
      <c r="C12" s="429"/>
      <c r="D12" s="429"/>
      <c r="E12" s="430">
        <v>23754.2</v>
      </c>
      <c r="F12" s="422">
        <f t="shared" si="0"/>
        <v>23754.2</v>
      </c>
      <c r="G12" s="431">
        <v>17174.3</v>
      </c>
      <c r="H12" s="263">
        <v>523.2</v>
      </c>
      <c r="I12" s="263">
        <v>186.1</v>
      </c>
      <c r="J12" s="263">
        <v>100.5</v>
      </c>
      <c r="K12" s="263"/>
      <c r="L12" s="263"/>
      <c r="M12" s="263"/>
      <c r="N12" s="263">
        <v>3</v>
      </c>
      <c r="O12" s="263">
        <v>246</v>
      </c>
      <c r="P12" s="263"/>
      <c r="Q12" s="263"/>
      <c r="R12" s="263">
        <v>192.1</v>
      </c>
      <c r="S12" s="263"/>
      <c r="T12" s="263"/>
      <c r="U12" s="263">
        <v>18</v>
      </c>
      <c r="V12" s="263">
        <v>5248</v>
      </c>
      <c r="W12" s="263">
        <v>63</v>
      </c>
      <c r="X12" s="263"/>
      <c r="Y12" s="424">
        <f t="shared" si="1"/>
        <v>23754.199999999997</v>
      </c>
      <c r="Z12" s="263"/>
      <c r="AA12" s="263"/>
      <c r="AB12" s="263"/>
      <c r="AC12" s="425">
        <f t="shared" si="3"/>
        <v>0</v>
      </c>
      <c r="AD12" s="426">
        <f t="shared" si="4"/>
        <v>23754.199999999997</v>
      </c>
      <c r="AE12" s="427">
        <f t="shared" si="2"/>
        <v>0</v>
      </c>
    </row>
    <row r="13" spans="1:31" s="262" customFormat="1" ht="28.5" customHeight="1">
      <c r="A13" s="418" t="s">
        <v>191</v>
      </c>
      <c r="B13" s="428"/>
      <c r="C13" s="429"/>
      <c r="D13" s="429"/>
      <c r="E13" s="430">
        <v>30480.9</v>
      </c>
      <c r="F13" s="422">
        <f t="shared" si="0"/>
        <v>30480.9</v>
      </c>
      <c r="G13" s="431">
        <v>19742.4</v>
      </c>
      <c r="H13" s="263">
        <v>887.1</v>
      </c>
      <c r="I13" s="263">
        <v>241.3</v>
      </c>
      <c r="J13" s="263">
        <v>100.5</v>
      </c>
      <c r="K13" s="263"/>
      <c r="L13" s="263"/>
      <c r="M13" s="263"/>
      <c r="N13" s="263">
        <v>3</v>
      </c>
      <c r="O13" s="263">
        <v>537.3</v>
      </c>
      <c r="P13" s="263"/>
      <c r="Q13" s="263"/>
      <c r="R13" s="263">
        <v>272.1</v>
      </c>
      <c r="S13" s="263"/>
      <c r="T13" s="263"/>
      <c r="U13" s="263">
        <v>23</v>
      </c>
      <c r="V13" s="263">
        <v>7539.1</v>
      </c>
      <c r="W13" s="263">
        <v>98</v>
      </c>
      <c r="X13" s="263"/>
      <c r="Y13" s="424">
        <f t="shared" si="1"/>
        <v>29443.799999999996</v>
      </c>
      <c r="Z13" s="263"/>
      <c r="AA13" s="263">
        <v>1032.5</v>
      </c>
      <c r="AB13" s="263"/>
      <c r="AC13" s="425">
        <f t="shared" si="3"/>
        <v>1032.5</v>
      </c>
      <c r="AD13" s="426">
        <f t="shared" si="4"/>
        <v>30476.299999999996</v>
      </c>
      <c r="AE13" s="427">
        <f t="shared" si="2"/>
        <v>4.600000000005821</v>
      </c>
    </row>
    <row r="14" spans="1:31" s="262" customFormat="1" ht="28.5" customHeight="1">
      <c r="A14" s="418" t="s">
        <v>192</v>
      </c>
      <c r="B14" s="428"/>
      <c r="C14" s="433"/>
      <c r="D14" s="429"/>
      <c r="E14" s="430">
        <v>24007.8</v>
      </c>
      <c r="F14" s="422">
        <f t="shared" si="0"/>
        <v>24007.8</v>
      </c>
      <c r="G14" s="431">
        <v>17226.9</v>
      </c>
      <c r="H14" s="263">
        <v>533.2</v>
      </c>
      <c r="I14" s="263">
        <v>306</v>
      </c>
      <c r="J14" s="263">
        <v>99.8</v>
      </c>
      <c r="K14" s="263"/>
      <c r="L14" s="263"/>
      <c r="M14" s="263"/>
      <c r="N14" s="263">
        <v>3</v>
      </c>
      <c r="O14" s="263">
        <v>231</v>
      </c>
      <c r="P14" s="263"/>
      <c r="Q14" s="263"/>
      <c r="R14" s="263">
        <v>192.1</v>
      </c>
      <c r="S14" s="263"/>
      <c r="T14" s="263"/>
      <c r="U14" s="263">
        <v>18</v>
      </c>
      <c r="V14" s="263">
        <v>5333.9</v>
      </c>
      <c r="W14" s="263">
        <v>63</v>
      </c>
      <c r="X14" s="263"/>
      <c r="Y14" s="424">
        <f t="shared" si="1"/>
        <v>24006.9</v>
      </c>
      <c r="Z14" s="263"/>
      <c r="AA14" s="263"/>
      <c r="AB14" s="263"/>
      <c r="AC14" s="425">
        <f t="shared" si="3"/>
        <v>0</v>
      </c>
      <c r="AD14" s="426">
        <f t="shared" si="4"/>
        <v>24006.9</v>
      </c>
      <c r="AE14" s="427">
        <f t="shared" si="2"/>
        <v>0.8999999999978172</v>
      </c>
    </row>
    <row r="15" spans="1:31" s="262" customFormat="1" ht="28.5" customHeight="1">
      <c r="A15" s="418" t="s">
        <v>193</v>
      </c>
      <c r="B15" s="428"/>
      <c r="C15" s="429"/>
      <c r="D15" s="429"/>
      <c r="E15" s="430">
        <v>28392.5</v>
      </c>
      <c r="F15" s="422">
        <f t="shared" si="0"/>
        <v>28392.5</v>
      </c>
      <c r="G15" s="431">
        <v>21518.1</v>
      </c>
      <c r="H15" s="263">
        <v>608.7</v>
      </c>
      <c r="I15" s="263">
        <v>186.9</v>
      </c>
      <c r="J15" s="263">
        <v>100.5</v>
      </c>
      <c r="K15" s="263"/>
      <c r="L15" s="263"/>
      <c r="M15" s="263"/>
      <c r="N15" s="263">
        <v>3</v>
      </c>
      <c r="O15" s="263">
        <v>409.8</v>
      </c>
      <c r="P15" s="263"/>
      <c r="Q15" s="263"/>
      <c r="R15" s="263">
        <v>212.1</v>
      </c>
      <c r="S15" s="263"/>
      <c r="T15" s="263"/>
      <c r="U15" s="263">
        <v>18</v>
      </c>
      <c r="V15" s="263">
        <v>5253.6</v>
      </c>
      <c r="W15" s="263">
        <v>77</v>
      </c>
      <c r="X15" s="263"/>
      <c r="Y15" s="424">
        <f t="shared" si="1"/>
        <v>28387.699999999997</v>
      </c>
      <c r="Z15" s="263"/>
      <c r="AA15" s="263"/>
      <c r="AB15" s="263"/>
      <c r="AC15" s="425">
        <f t="shared" si="3"/>
        <v>0</v>
      </c>
      <c r="AD15" s="426">
        <f t="shared" si="4"/>
        <v>28387.699999999997</v>
      </c>
      <c r="AE15" s="427">
        <f t="shared" si="2"/>
        <v>4.80000000000291</v>
      </c>
    </row>
    <row r="16" spans="1:31" s="262" customFormat="1" ht="28.5" customHeight="1">
      <c r="A16" s="418" t="s">
        <v>194</v>
      </c>
      <c r="B16" s="434"/>
      <c r="C16" s="433"/>
      <c r="D16" s="433"/>
      <c r="E16" s="435">
        <v>23794.8</v>
      </c>
      <c r="F16" s="436">
        <f t="shared" si="0"/>
        <v>23794.8</v>
      </c>
      <c r="G16" s="431">
        <v>17266.9</v>
      </c>
      <c r="H16" s="263">
        <v>651.8</v>
      </c>
      <c r="I16" s="263">
        <v>194.1</v>
      </c>
      <c r="J16" s="263">
        <v>80.7</v>
      </c>
      <c r="K16" s="263"/>
      <c r="L16" s="263"/>
      <c r="M16" s="263"/>
      <c r="N16" s="263">
        <v>3</v>
      </c>
      <c r="O16" s="263">
        <v>255</v>
      </c>
      <c r="P16" s="263"/>
      <c r="Q16" s="263"/>
      <c r="R16" s="263">
        <v>192.1</v>
      </c>
      <c r="S16" s="263"/>
      <c r="T16" s="263"/>
      <c r="U16" s="263">
        <v>18</v>
      </c>
      <c r="V16" s="263">
        <v>5063</v>
      </c>
      <c r="W16" s="263">
        <v>62.3</v>
      </c>
      <c r="X16" s="263"/>
      <c r="Y16" s="424">
        <f t="shared" si="1"/>
        <v>23786.899999999998</v>
      </c>
      <c r="Z16" s="263"/>
      <c r="AA16" s="263"/>
      <c r="AB16" s="263"/>
      <c r="AC16" s="425">
        <f t="shared" si="3"/>
        <v>0</v>
      </c>
      <c r="AD16" s="426">
        <f t="shared" si="4"/>
        <v>23786.899999999998</v>
      </c>
      <c r="AE16" s="427">
        <f t="shared" si="2"/>
        <v>7.900000000001455</v>
      </c>
    </row>
    <row r="17" spans="1:31" s="262" customFormat="1" ht="28.5" customHeight="1" thickBot="1">
      <c r="A17" s="418" t="s">
        <v>195</v>
      </c>
      <c r="B17" s="437"/>
      <c r="C17" s="438"/>
      <c r="D17" s="438"/>
      <c r="E17" s="439">
        <v>27055.7</v>
      </c>
      <c r="F17" s="440">
        <f t="shared" si="0"/>
        <v>27055.7</v>
      </c>
      <c r="G17" s="441">
        <v>18953.5</v>
      </c>
      <c r="H17" s="264">
        <v>789.3</v>
      </c>
      <c r="I17" s="264">
        <v>222.5</v>
      </c>
      <c r="J17" s="264">
        <v>99.4</v>
      </c>
      <c r="K17" s="264"/>
      <c r="L17" s="264"/>
      <c r="M17" s="264"/>
      <c r="N17" s="264"/>
      <c r="O17" s="264">
        <v>255</v>
      </c>
      <c r="P17" s="264"/>
      <c r="Q17" s="264"/>
      <c r="R17" s="264">
        <v>244.1</v>
      </c>
      <c r="S17" s="264"/>
      <c r="T17" s="264"/>
      <c r="U17" s="264">
        <v>23</v>
      </c>
      <c r="V17" s="264">
        <v>6384.5</v>
      </c>
      <c r="W17" s="264">
        <v>80.5</v>
      </c>
      <c r="X17" s="264"/>
      <c r="Y17" s="442">
        <f t="shared" si="1"/>
        <v>27051.8</v>
      </c>
      <c r="Z17" s="264"/>
      <c r="AA17" s="264"/>
      <c r="AB17" s="264"/>
      <c r="AC17" s="443">
        <f t="shared" si="3"/>
        <v>0</v>
      </c>
      <c r="AD17" s="444">
        <f t="shared" si="4"/>
        <v>27051.8</v>
      </c>
      <c r="AE17" s="445">
        <f t="shared" si="2"/>
        <v>3.900000000001455</v>
      </c>
    </row>
    <row r="18" spans="1:31" s="257" customFormat="1" ht="28.5" customHeight="1" thickBot="1">
      <c r="A18" s="249" t="s">
        <v>202</v>
      </c>
      <c r="B18" s="250">
        <f aca="true" t="shared" si="5" ref="B18:M18">SUM(B6:B17)</f>
        <v>0</v>
      </c>
      <c r="C18" s="251">
        <f t="shared" si="5"/>
        <v>0</v>
      </c>
      <c r="D18" s="251">
        <f t="shared" si="5"/>
        <v>0</v>
      </c>
      <c r="E18" s="252">
        <f t="shared" si="5"/>
        <v>288135.1</v>
      </c>
      <c r="F18" s="265">
        <f t="shared" si="0"/>
        <v>288135.1</v>
      </c>
      <c r="G18" s="253">
        <f t="shared" si="5"/>
        <v>205520.4</v>
      </c>
      <c r="H18" s="254">
        <f t="shared" si="5"/>
        <v>7746.200000000001</v>
      </c>
      <c r="I18" s="254">
        <f t="shared" si="5"/>
        <v>2407.5</v>
      </c>
      <c r="J18" s="254">
        <f t="shared" si="5"/>
        <v>1180.5</v>
      </c>
      <c r="K18" s="254">
        <f t="shared" si="5"/>
        <v>0</v>
      </c>
      <c r="L18" s="254">
        <f t="shared" si="5"/>
        <v>0</v>
      </c>
      <c r="M18" s="254">
        <f t="shared" si="5"/>
        <v>0</v>
      </c>
      <c r="N18" s="254">
        <f aca="true" t="shared" si="6" ref="N18:AE18">SUM(N6:N17)</f>
        <v>30</v>
      </c>
      <c r="O18" s="254">
        <f>SUM(O6:O17)</f>
        <v>3311.1000000000004</v>
      </c>
      <c r="P18" s="254">
        <f t="shared" si="6"/>
        <v>0</v>
      </c>
      <c r="Q18" s="254">
        <f t="shared" si="6"/>
        <v>0</v>
      </c>
      <c r="R18" s="254">
        <f t="shared" si="6"/>
        <v>2373.0999999999995</v>
      </c>
      <c r="S18" s="254">
        <f t="shared" si="6"/>
        <v>0</v>
      </c>
      <c r="T18" s="254">
        <f t="shared" si="6"/>
        <v>0</v>
      </c>
      <c r="U18" s="254">
        <f t="shared" si="6"/>
        <v>221</v>
      </c>
      <c r="V18" s="254">
        <f t="shared" si="6"/>
        <v>63224.399999999994</v>
      </c>
      <c r="W18" s="254">
        <f t="shared" si="6"/>
        <v>846.0999999999999</v>
      </c>
      <c r="X18" s="254">
        <f t="shared" si="6"/>
        <v>0</v>
      </c>
      <c r="Y18" s="254">
        <f>SUM(Y6:Y17)</f>
        <v>286860.3</v>
      </c>
      <c r="Z18" s="254">
        <f t="shared" si="6"/>
        <v>0</v>
      </c>
      <c r="AA18" s="254">
        <f t="shared" si="6"/>
        <v>1236</v>
      </c>
      <c r="AB18" s="254">
        <f t="shared" si="6"/>
        <v>0</v>
      </c>
      <c r="AC18" s="255">
        <f t="shared" si="6"/>
        <v>1236</v>
      </c>
      <c r="AD18" s="255">
        <f t="shared" si="6"/>
        <v>288096.3</v>
      </c>
      <c r="AE18" s="256">
        <f t="shared" si="6"/>
        <v>38.800000000013824</v>
      </c>
    </row>
    <row r="19" spans="1:31" s="262" customFormat="1" ht="28.5" customHeight="1">
      <c r="A19" s="446" t="s">
        <v>196</v>
      </c>
      <c r="B19" s="419"/>
      <c r="C19" s="420"/>
      <c r="D19" s="420">
        <v>2800.5</v>
      </c>
      <c r="E19" s="421">
        <v>40433.4</v>
      </c>
      <c r="F19" s="422">
        <f t="shared" si="0"/>
        <v>43233.9</v>
      </c>
      <c r="G19" s="423">
        <v>41429.1</v>
      </c>
      <c r="H19" s="261">
        <v>1013.7</v>
      </c>
      <c r="I19" s="261">
        <v>167.1</v>
      </c>
      <c r="J19" s="261">
        <v>156.5</v>
      </c>
      <c r="K19" s="261"/>
      <c r="L19" s="261"/>
      <c r="M19" s="261">
        <v>11.2</v>
      </c>
      <c r="N19" s="261">
        <v>3</v>
      </c>
      <c r="O19" s="261">
        <v>43.3</v>
      </c>
      <c r="P19" s="261"/>
      <c r="Q19" s="261"/>
      <c r="R19" s="261">
        <v>100</v>
      </c>
      <c r="S19" s="261"/>
      <c r="T19" s="261"/>
      <c r="U19" s="261"/>
      <c r="V19" s="261">
        <v>135</v>
      </c>
      <c r="W19" s="261"/>
      <c r="X19" s="261"/>
      <c r="Y19" s="424">
        <f>SUM(G19:X19)</f>
        <v>43058.899999999994</v>
      </c>
      <c r="Z19" s="261"/>
      <c r="AA19" s="261"/>
      <c r="AB19" s="261">
        <v>175</v>
      </c>
      <c r="AC19" s="425">
        <f t="shared" si="3"/>
        <v>175</v>
      </c>
      <c r="AD19" s="426">
        <f t="shared" si="4"/>
        <v>43233.899999999994</v>
      </c>
      <c r="AE19" s="427">
        <f>B19+F19-AD19</f>
        <v>0</v>
      </c>
    </row>
    <row r="20" spans="1:31" s="452" customFormat="1" ht="28.5" customHeight="1">
      <c r="A20" s="447" t="s">
        <v>197</v>
      </c>
      <c r="B20" s="448"/>
      <c r="C20" s="429"/>
      <c r="D20" s="429">
        <v>1166.9</v>
      </c>
      <c r="E20" s="430">
        <v>19498.2</v>
      </c>
      <c r="F20" s="422">
        <f t="shared" si="0"/>
        <v>20665.100000000002</v>
      </c>
      <c r="G20" s="431">
        <v>20155.4</v>
      </c>
      <c r="H20" s="263">
        <v>263</v>
      </c>
      <c r="I20" s="263">
        <v>58.2</v>
      </c>
      <c r="J20" s="263">
        <v>99.3</v>
      </c>
      <c r="K20" s="449"/>
      <c r="L20" s="449"/>
      <c r="M20" s="449">
        <v>11.2</v>
      </c>
      <c r="N20" s="263">
        <v>3</v>
      </c>
      <c r="O20" s="263"/>
      <c r="P20" s="449"/>
      <c r="Q20" s="449"/>
      <c r="R20" s="263">
        <v>48</v>
      </c>
      <c r="S20" s="263"/>
      <c r="T20" s="449"/>
      <c r="U20" s="449"/>
      <c r="V20" s="263">
        <v>27</v>
      </c>
      <c r="W20" s="450"/>
      <c r="X20" s="449"/>
      <c r="Y20" s="451">
        <f>SUM(G20:X20)</f>
        <v>20665.100000000002</v>
      </c>
      <c r="Z20" s="449"/>
      <c r="AA20" s="449"/>
      <c r="AB20" s="449"/>
      <c r="AC20" s="425">
        <f t="shared" si="3"/>
        <v>0</v>
      </c>
      <c r="AD20" s="426">
        <f t="shared" si="4"/>
        <v>20665.100000000002</v>
      </c>
      <c r="AE20" s="427">
        <f>B20+F20-AD20</f>
        <v>0</v>
      </c>
    </row>
    <row r="21" spans="1:31" s="262" customFormat="1" ht="28.5" customHeight="1">
      <c r="A21" s="453" t="s">
        <v>198</v>
      </c>
      <c r="B21" s="428"/>
      <c r="C21" s="429"/>
      <c r="D21" s="429"/>
      <c r="E21" s="430">
        <v>25630.5</v>
      </c>
      <c r="F21" s="422">
        <f t="shared" si="0"/>
        <v>25630.5</v>
      </c>
      <c r="G21" s="431">
        <v>20704.8</v>
      </c>
      <c r="H21" s="263">
        <v>2243</v>
      </c>
      <c r="I21" s="263">
        <v>113.2</v>
      </c>
      <c r="J21" s="263">
        <v>99.1</v>
      </c>
      <c r="K21" s="263"/>
      <c r="L21" s="263">
        <v>2146.7</v>
      </c>
      <c r="M21" s="263"/>
      <c r="N21" s="263">
        <v>6</v>
      </c>
      <c r="O21" s="263">
        <v>97.7</v>
      </c>
      <c r="P21" s="263"/>
      <c r="Q21" s="263"/>
      <c r="R21" s="263">
        <v>60</v>
      </c>
      <c r="S21" s="263"/>
      <c r="T21" s="263"/>
      <c r="U21" s="263">
        <v>20</v>
      </c>
      <c r="V21" s="263">
        <v>140</v>
      </c>
      <c r="W21" s="263"/>
      <c r="X21" s="263"/>
      <c r="Y21" s="451">
        <f>SUM(G21:X21)</f>
        <v>25630.5</v>
      </c>
      <c r="Z21" s="263"/>
      <c r="AA21" s="263"/>
      <c r="AB21" s="263"/>
      <c r="AC21" s="425">
        <f t="shared" si="3"/>
        <v>0</v>
      </c>
      <c r="AD21" s="426">
        <f t="shared" si="4"/>
        <v>25630.5</v>
      </c>
      <c r="AE21" s="427">
        <f>B21+F21-AD21</f>
        <v>0</v>
      </c>
    </row>
    <row r="22" spans="1:31" s="262" customFormat="1" ht="28.5" customHeight="1">
      <c r="A22" s="453" t="s">
        <v>199</v>
      </c>
      <c r="B22" s="428"/>
      <c r="C22" s="429"/>
      <c r="D22" s="429"/>
      <c r="E22" s="430">
        <v>14928.7</v>
      </c>
      <c r="F22" s="422">
        <f t="shared" si="0"/>
        <v>14928.7</v>
      </c>
      <c r="G22" s="431">
        <v>12642.3</v>
      </c>
      <c r="H22" s="431">
        <v>649.2</v>
      </c>
      <c r="I22" s="263">
        <v>65.1</v>
      </c>
      <c r="J22" s="263">
        <v>99.3</v>
      </c>
      <c r="K22" s="263"/>
      <c r="L22" s="263">
        <v>1326.5</v>
      </c>
      <c r="M22" s="263"/>
      <c r="N22" s="263">
        <v>3</v>
      </c>
      <c r="O22" s="263">
        <v>28.3</v>
      </c>
      <c r="P22" s="263"/>
      <c r="Q22" s="263"/>
      <c r="R22" s="263">
        <v>60</v>
      </c>
      <c r="S22" s="263"/>
      <c r="T22" s="263"/>
      <c r="U22" s="263">
        <v>15</v>
      </c>
      <c r="V22" s="263">
        <v>40</v>
      </c>
      <c r="W22" s="263"/>
      <c r="X22" s="263"/>
      <c r="Y22" s="451">
        <f>SUM(G22:X22)</f>
        <v>14928.699999999999</v>
      </c>
      <c r="Z22" s="263"/>
      <c r="AA22" s="263"/>
      <c r="AB22" s="263"/>
      <c r="AC22" s="425">
        <f t="shared" si="3"/>
        <v>0</v>
      </c>
      <c r="AD22" s="426">
        <f t="shared" si="4"/>
        <v>14928.699999999999</v>
      </c>
      <c r="AE22" s="427">
        <f>B22+F22-AD22</f>
        <v>0</v>
      </c>
    </row>
    <row r="23" spans="1:31" s="262" customFormat="1" ht="28.5" customHeight="1" thickBot="1">
      <c r="A23" s="454" t="s">
        <v>200</v>
      </c>
      <c r="B23" s="437"/>
      <c r="C23" s="438"/>
      <c r="D23" s="438"/>
      <c r="E23" s="439">
        <v>9786.8</v>
      </c>
      <c r="F23" s="440">
        <f t="shared" si="0"/>
        <v>9786.8</v>
      </c>
      <c r="G23" s="441">
        <v>8122.1</v>
      </c>
      <c r="H23" s="264">
        <v>546.6</v>
      </c>
      <c r="I23" s="264">
        <v>37.1</v>
      </c>
      <c r="J23" s="264">
        <v>99.3</v>
      </c>
      <c r="K23" s="264"/>
      <c r="L23" s="264">
        <v>545.6</v>
      </c>
      <c r="M23" s="264"/>
      <c r="N23" s="264">
        <v>3</v>
      </c>
      <c r="O23" s="264">
        <v>13.1</v>
      </c>
      <c r="P23" s="264"/>
      <c r="Q23" s="264"/>
      <c r="R23" s="264">
        <v>40</v>
      </c>
      <c r="S23" s="264"/>
      <c r="T23" s="264"/>
      <c r="U23" s="264"/>
      <c r="V23" s="264">
        <v>20</v>
      </c>
      <c r="W23" s="264"/>
      <c r="X23" s="264"/>
      <c r="Y23" s="455">
        <f>SUM(G23:X23)</f>
        <v>9426.800000000001</v>
      </c>
      <c r="Z23" s="264"/>
      <c r="AA23" s="264">
        <v>360</v>
      </c>
      <c r="AB23" s="264"/>
      <c r="AC23" s="443">
        <f t="shared" si="3"/>
        <v>360</v>
      </c>
      <c r="AD23" s="444">
        <f t="shared" si="4"/>
        <v>9786.800000000001</v>
      </c>
      <c r="AE23" s="445">
        <f>B23+F23-AD23</f>
        <v>0</v>
      </c>
    </row>
    <row r="24" spans="1:31" s="257" customFormat="1" ht="28.5" customHeight="1" thickBot="1">
      <c r="A24" s="258" t="s">
        <v>201</v>
      </c>
      <c r="B24" s="250">
        <f aca="true" t="shared" si="7" ref="B24:J24">SUM(B19:B23)</f>
        <v>0</v>
      </c>
      <c r="C24" s="251">
        <f t="shared" si="7"/>
        <v>0</v>
      </c>
      <c r="D24" s="251">
        <f t="shared" si="7"/>
        <v>3967.4</v>
      </c>
      <c r="E24" s="259">
        <f t="shared" si="7"/>
        <v>110277.6</v>
      </c>
      <c r="F24" s="265">
        <f t="shared" si="0"/>
        <v>114245</v>
      </c>
      <c r="G24" s="253">
        <f t="shared" si="7"/>
        <v>103053.70000000001</v>
      </c>
      <c r="H24" s="254">
        <f t="shared" si="7"/>
        <v>4715.5</v>
      </c>
      <c r="I24" s="254">
        <f t="shared" si="7"/>
        <v>440.70000000000005</v>
      </c>
      <c r="J24" s="254">
        <f t="shared" si="7"/>
        <v>553.5</v>
      </c>
      <c r="K24" s="254">
        <f aca="true" t="shared" si="8" ref="K24:P24">SUM(K19:K23)</f>
        <v>0</v>
      </c>
      <c r="L24" s="254">
        <f t="shared" si="8"/>
        <v>4018.7999999999997</v>
      </c>
      <c r="M24" s="254">
        <f t="shared" si="8"/>
        <v>22.4</v>
      </c>
      <c r="N24" s="254">
        <f t="shared" si="8"/>
        <v>18</v>
      </c>
      <c r="O24" s="254">
        <f t="shared" si="8"/>
        <v>182.4</v>
      </c>
      <c r="P24" s="254">
        <f t="shared" si="8"/>
        <v>0</v>
      </c>
      <c r="Q24" s="254"/>
      <c r="R24" s="254">
        <f aca="true" t="shared" si="9" ref="R24:X24">SUM(R19:R23)</f>
        <v>308</v>
      </c>
      <c r="S24" s="254">
        <f t="shared" si="9"/>
        <v>0</v>
      </c>
      <c r="T24" s="254">
        <f t="shared" si="9"/>
        <v>0</v>
      </c>
      <c r="U24" s="254">
        <f t="shared" si="9"/>
        <v>35</v>
      </c>
      <c r="V24" s="254">
        <f t="shared" si="9"/>
        <v>362</v>
      </c>
      <c r="W24" s="254">
        <f t="shared" si="9"/>
        <v>0</v>
      </c>
      <c r="X24" s="254">
        <f t="shared" si="9"/>
        <v>0</v>
      </c>
      <c r="Y24" s="254">
        <f aca="true" t="shared" si="10" ref="Y24:AE24">SUM(Y19:Y23)</f>
        <v>113710</v>
      </c>
      <c r="Z24" s="254">
        <f t="shared" si="10"/>
        <v>0</v>
      </c>
      <c r="AA24" s="254">
        <f t="shared" si="10"/>
        <v>360</v>
      </c>
      <c r="AB24" s="254">
        <f t="shared" si="10"/>
        <v>175</v>
      </c>
      <c r="AC24" s="255">
        <f t="shared" si="10"/>
        <v>535</v>
      </c>
      <c r="AD24" s="255">
        <f t="shared" si="10"/>
        <v>114245</v>
      </c>
      <c r="AE24" s="256">
        <f t="shared" si="10"/>
        <v>0</v>
      </c>
    </row>
    <row r="25" spans="1:31" s="262" customFormat="1" ht="28.5" customHeight="1">
      <c r="A25" s="446" t="s">
        <v>212</v>
      </c>
      <c r="B25" s="419"/>
      <c r="C25" s="420"/>
      <c r="D25" s="420"/>
      <c r="E25" s="456">
        <v>18662.6</v>
      </c>
      <c r="F25" s="422">
        <f t="shared" si="0"/>
        <v>18662.6</v>
      </c>
      <c r="G25" s="431">
        <v>17797.6</v>
      </c>
      <c r="H25" s="431">
        <v>332.4</v>
      </c>
      <c r="I25" s="431">
        <v>67.9</v>
      </c>
      <c r="J25" s="431">
        <v>100.5</v>
      </c>
      <c r="K25" s="431"/>
      <c r="L25" s="431"/>
      <c r="M25" s="431">
        <v>11.2</v>
      </c>
      <c r="N25" s="431">
        <v>3</v>
      </c>
      <c r="O25" s="431">
        <v>115</v>
      </c>
      <c r="P25" s="431"/>
      <c r="Q25" s="431"/>
      <c r="R25" s="431">
        <v>30</v>
      </c>
      <c r="S25" s="431"/>
      <c r="T25" s="431"/>
      <c r="U25" s="431"/>
      <c r="V25" s="431">
        <v>46</v>
      </c>
      <c r="W25" s="431"/>
      <c r="X25" s="431"/>
      <c r="Y25" s="451">
        <f>SUM(G25:X25)</f>
        <v>18503.600000000002</v>
      </c>
      <c r="Z25" s="431"/>
      <c r="AA25" s="431">
        <v>159</v>
      </c>
      <c r="AB25" s="431"/>
      <c r="AC25" s="431">
        <f t="shared" si="3"/>
        <v>159</v>
      </c>
      <c r="AD25" s="431">
        <f t="shared" si="4"/>
        <v>18662.600000000002</v>
      </c>
      <c r="AE25" s="505">
        <f>B25+F25-AD25</f>
        <v>0</v>
      </c>
    </row>
    <row r="26" spans="1:31" s="262" customFormat="1" ht="28.5" customHeight="1">
      <c r="A26" s="453" t="s">
        <v>203</v>
      </c>
      <c r="B26" s="428"/>
      <c r="C26" s="429"/>
      <c r="D26" s="429"/>
      <c r="E26" s="457">
        <v>12668.8</v>
      </c>
      <c r="F26" s="422">
        <f>SUM(C26:E26)</f>
        <v>12668.8</v>
      </c>
      <c r="G26" s="431">
        <v>11190.6</v>
      </c>
      <c r="H26" s="263">
        <v>579</v>
      </c>
      <c r="I26" s="263">
        <v>139.2</v>
      </c>
      <c r="J26" s="263">
        <v>42</v>
      </c>
      <c r="K26" s="263"/>
      <c r="L26" s="263"/>
      <c r="M26" s="263"/>
      <c r="N26" s="263">
        <v>3</v>
      </c>
      <c r="O26" s="263"/>
      <c r="P26" s="263"/>
      <c r="Q26" s="263"/>
      <c r="R26" s="263">
        <v>40</v>
      </c>
      <c r="S26" s="263">
        <v>100</v>
      </c>
      <c r="T26" s="263">
        <v>100</v>
      </c>
      <c r="U26" s="263"/>
      <c r="V26" s="263">
        <v>400</v>
      </c>
      <c r="W26" s="263"/>
      <c r="X26" s="263"/>
      <c r="Y26" s="451">
        <f>SUM(G26:X26)</f>
        <v>12593.800000000001</v>
      </c>
      <c r="Z26" s="263"/>
      <c r="AA26" s="263"/>
      <c r="AB26" s="263">
        <v>75</v>
      </c>
      <c r="AC26" s="425">
        <f t="shared" si="3"/>
        <v>75</v>
      </c>
      <c r="AD26" s="426">
        <f t="shared" si="4"/>
        <v>12668.800000000001</v>
      </c>
      <c r="AE26" s="427">
        <f>B26+F26-AD26</f>
        <v>0</v>
      </c>
    </row>
    <row r="27" spans="1:31" s="262" customFormat="1" ht="28.5" customHeight="1">
      <c r="A27" s="453" t="s">
        <v>204</v>
      </c>
      <c r="B27" s="428"/>
      <c r="C27" s="429"/>
      <c r="D27" s="429"/>
      <c r="E27" s="457">
        <v>21619.4</v>
      </c>
      <c r="F27" s="422">
        <f>SUM(C27:E27)</f>
        <v>21619.4</v>
      </c>
      <c r="G27" s="431">
        <v>21057.8</v>
      </c>
      <c r="H27" s="263">
        <v>80.8</v>
      </c>
      <c r="I27" s="263">
        <v>66.6</v>
      </c>
      <c r="J27" s="263">
        <v>140.8</v>
      </c>
      <c r="K27" s="263"/>
      <c r="L27" s="263"/>
      <c r="M27" s="263">
        <v>90.4</v>
      </c>
      <c r="N27" s="263">
        <v>3</v>
      </c>
      <c r="O27" s="263"/>
      <c r="P27" s="263"/>
      <c r="Q27" s="263"/>
      <c r="R27" s="263">
        <v>80</v>
      </c>
      <c r="S27" s="263"/>
      <c r="T27" s="263"/>
      <c r="U27" s="263"/>
      <c r="V27" s="263">
        <v>100</v>
      </c>
      <c r="W27" s="263"/>
      <c r="X27" s="263"/>
      <c r="Y27" s="451">
        <f>SUM(G27:X27)</f>
        <v>21619.399999999998</v>
      </c>
      <c r="Z27" s="263"/>
      <c r="AA27" s="263"/>
      <c r="AB27" s="263"/>
      <c r="AC27" s="425">
        <f t="shared" si="3"/>
        <v>0</v>
      </c>
      <c r="AD27" s="426">
        <f t="shared" si="4"/>
        <v>21619.399999999998</v>
      </c>
      <c r="AE27" s="427">
        <f>B27+F27-AD27</f>
        <v>0</v>
      </c>
    </row>
    <row r="28" spans="1:31" s="262" customFormat="1" ht="28.5" customHeight="1">
      <c r="A28" s="453" t="s">
        <v>205</v>
      </c>
      <c r="B28" s="428"/>
      <c r="C28" s="429"/>
      <c r="D28" s="429"/>
      <c r="E28" s="457">
        <v>18126</v>
      </c>
      <c r="F28" s="422">
        <f t="shared" si="0"/>
        <v>18126</v>
      </c>
      <c r="G28" s="431">
        <v>8404.5</v>
      </c>
      <c r="H28" s="263">
        <v>6818</v>
      </c>
      <c r="I28" s="263"/>
      <c r="J28" s="263">
        <v>42</v>
      </c>
      <c r="K28" s="263"/>
      <c r="L28" s="263"/>
      <c r="M28" s="263"/>
      <c r="N28" s="263">
        <v>3</v>
      </c>
      <c r="O28" s="263"/>
      <c r="P28" s="263"/>
      <c r="Q28" s="263">
        <v>2425.9</v>
      </c>
      <c r="R28" s="263">
        <v>60</v>
      </c>
      <c r="S28" s="263"/>
      <c r="T28" s="263">
        <v>352.6</v>
      </c>
      <c r="U28" s="263"/>
      <c r="V28" s="263">
        <v>20</v>
      </c>
      <c r="W28" s="263"/>
      <c r="X28" s="263"/>
      <c r="Y28" s="451">
        <f>SUM(G28:X28)</f>
        <v>18126</v>
      </c>
      <c r="Z28" s="263"/>
      <c r="AA28" s="263"/>
      <c r="AB28" s="263"/>
      <c r="AC28" s="425">
        <f t="shared" si="3"/>
        <v>0</v>
      </c>
      <c r="AD28" s="426">
        <f t="shared" si="4"/>
        <v>18126</v>
      </c>
      <c r="AE28" s="427">
        <f>B28+F28-AD28</f>
        <v>0</v>
      </c>
    </row>
    <row r="29" spans="1:31" s="262" customFormat="1" ht="28.5" customHeight="1" thickBot="1">
      <c r="A29" s="453" t="s">
        <v>110</v>
      </c>
      <c r="B29" s="437"/>
      <c r="C29" s="438"/>
      <c r="D29" s="438"/>
      <c r="E29" s="458">
        <v>26140.9</v>
      </c>
      <c r="F29" s="440">
        <f t="shared" si="0"/>
        <v>26140.9</v>
      </c>
      <c r="G29" s="441">
        <v>4846.6</v>
      </c>
      <c r="H29" s="264">
        <v>16639.3</v>
      </c>
      <c r="I29" s="264"/>
      <c r="J29" s="264">
        <v>99.3</v>
      </c>
      <c r="K29" s="264">
        <v>18</v>
      </c>
      <c r="L29" s="264"/>
      <c r="M29" s="264"/>
      <c r="N29" s="264">
        <v>3</v>
      </c>
      <c r="O29" s="264"/>
      <c r="P29" s="264"/>
      <c r="Q29" s="264"/>
      <c r="R29" s="264">
        <v>40</v>
      </c>
      <c r="S29" s="264"/>
      <c r="T29" s="264">
        <v>1431.4</v>
      </c>
      <c r="U29" s="264"/>
      <c r="V29" s="264">
        <v>3047.6</v>
      </c>
      <c r="W29" s="264"/>
      <c r="X29" s="264">
        <v>15.7</v>
      </c>
      <c r="Y29" s="455">
        <f>SUM(G29:X29)</f>
        <v>26140.9</v>
      </c>
      <c r="Z29" s="264"/>
      <c r="AA29" s="264"/>
      <c r="AB29" s="264"/>
      <c r="AC29" s="443">
        <f t="shared" si="3"/>
        <v>0</v>
      </c>
      <c r="AD29" s="444">
        <f t="shared" si="4"/>
        <v>26140.9</v>
      </c>
      <c r="AE29" s="445">
        <f>B29+F29-AD29</f>
        <v>0</v>
      </c>
    </row>
    <row r="30" spans="1:31" s="260" customFormat="1" ht="33" customHeight="1" thickBot="1">
      <c r="A30" s="532" t="s">
        <v>140</v>
      </c>
      <c r="B30" s="533">
        <f>SUM(B18+B24+B25+B26+B27+B28+B29)</f>
        <v>0</v>
      </c>
      <c r="C30" s="533">
        <f aca="true" t="shared" si="11" ref="C30:AE30">SUM(C18+C24+C25+C26+C27+C28+C29)</f>
        <v>0</v>
      </c>
      <c r="D30" s="533">
        <f t="shared" si="11"/>
        <v>3967.4</v>
      </c>
      <c r="E30" s="534">
        <f t="shared" si="11"/>
        <v>495630.39999999997</v>
      </c>
      <c r="F30" s="535">
        <f t="shared" si="0"/>
        <v>499597.8</v>
      </c>
      <c r="G30" s="533">
        <f t="shared" si="11"/>
        <v>371871.1999999999</v>
      </c>
      <c r="H30" s="533">
        <f t="shared" si="11"/>
        <v>36911.2</v>
      </c>
      <c r="I30" s="533">
        <f t="shared" si="11"/>
        <v>3121.8999999999996</v>
      </c>
      <c r="J30" s="533">
        <f t="shared" si="11"/>
        <v>2158.6000000000004</v>
      </c>
      <c r="K30" s="533">
        <f t="shared" si="11"/>
        <v>18</v>
      </c>
      <c r="L30" s="533">
        <f t="shared" si="11"/>
        <v>4018.7999999999997</v>
      </c>
      <c r="M30" s="533">
        <f t="shared" si="11"/>
        <v>124</v>
      </c>
      <c r="N30" s="536">
        <f t="shared" si="11"/>
        <v>63</v>
      </c>
      <c r="O30" s="533">
        <f t="shared" si="11"/>
        <v>3608.5000000000005</v>
      </c>
      <c r="P30" s="533">
        <f t="shared" si="11"/>
        <v>0</v>
      </c>
      <c r="Q30" s="533">
        <f t="shared" si="11"/>
        <v>2425.9</v>
      </c>
      <c r="R30" s="533">
        <f t="shared" si="11"/>
        <v>2931.0999999999995</v>
      </c>
      <c r="S30" s="533">
        <f t="shared" si="11"/>
        <v>100</v>
      </c>
      <c r="T30" s="533">
        <f t="shared" si="11"/>
        <v>1884</v>
      </c>
      <c r="U30" s="533">
        <f t="shared" si="11"/>
        <v>256</v>
      </c>
      <c r="V30" s="533">
        <f t="shared" si="11"/>
        <v>67200</v>
      </c>
      <c r="W30" s="533">
        <f t="shared" si="11"/>
        <v>846.0999999999999</v>
      </c>
      <c r="X30" s="533">
        <f t="shared" si="11"/>
        <v>15.7</v>
      </c>
      <c r="Y30" s="533">
        <f t="shared" si="11"/>
        <v>497554</v>
      </c>
      <c r="Z30" s="533">
        <f t="shared" si="11"/>
        <v>0</v>
      </c>
      <c r="AA30" s="533">
        <f>SUM(AA18+AA24+AA25+AA26+AA27+AA28+AA29)</f>
        <v>1755</v>
      </c>
      <c r="AB30" s="533">
        <f t="shared" si="11"/>
        <v>250</v>
      </c>
      <c r="AC30" s="534">
        <f t="shared" si="11"/>
        <v>2005</v>
      </c>
      <c r="AD30" s="537">
        <f t="shared" si="11"/>
        <v>499559</v>
      </c>
      <c r="AE30" s="535">
        <f t="shared" si="11"/>
        <v>38.800000000013824</v>
      </c>
    </row>
  </sheetData>
  <sheetProtection/>
  <mergeCells count="1">
    <mergeCell ref="A2:M2"/>
  </mergeCells>
  <printOptions/>
  <pageMargins left="0.69" right="0.15748031496062992" top="0.15748031496062992" bottom="0.11811023622047245" header="0.15748031496062992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1"/>
  <sheetViews>
    <sheetView view="pageBreakPreview" zoomScale="110" zoomScaleSheetLayoutView="110" workbookViewId="0" topLeftCell="N9">
      <selection activeCell="W40" sqref="W40"/>
    </sheetView>
  </sheetViews>
  <sheetFormatPr defaultColWidth="9.140625" defaultRowHeight="12.75"/>
  <cols>
    <col min="1" max="1" width="21.7109375" style="11" customWidth="1"/>
    <col min="2" max="2" width="8.28125" style="11" customWidth="1"/>
    <col min="3" max="4" width="5.7109375" style="11" customWidth="1"/>
    <col min="5" max="6" width="8.28125" style="323" customWidth="1"/>
    <col min="7" max="7" width="8.28125" style="11" hidden="1" customWidth="1"/>
    <col min="8" max="8" width="8.28125" style="11" customWidth="1"/>
    <col min="9" max="10" width="9.140625" style="323" customWidth="1"/>
    <col min="11" max="11" width="9.28125" style="11" customWidth="1"/>
    <col min="12" max="12" width="8.8515625" style="11" customWidth="1"/>
    <col min="13" max="13" width="7.57421875" style="11" customWidth="1"/>
    <col min="14" max="14" width="8.28125" style="11" customWidth="1"/>
    <col min="15" max="15" width="5.57421875" style="11" customWidth="1"/>
    <col min="16" max="17" width="6.57421875" style="11" customWidth="1"/>
    <col min="18" max="18" width="5.57421875" style="221" customWidth="1"/>
    <col min="19" max="19" width="6.8515625" style="11" customWidth="1"/>
    <col min="20" max="20" width="8.28125" style="220" hidden="1" customWidth="1"/>
    <col min="21" max="21" width="8.28125" style="11" customWidth="1"/>
    <col min="22" max="22" width="6.8515625" style="11" customWidth="1"/>
    <col min="23" max="23" width="4.8515625" style="11" customWidth="1"/>
    <col min="24" max="24" width="6.8515625" style="11" customWidth="1"/>
    <col min="25" max="25" width="5.8515625" style="11" customWidth="1"/>
    <col min="26" max="26" width="8.7109375" style="11" customWidth="1"/>
    <col min="27" max="27" width="5.7109375" style="11" customWidth="1"/>
    <col min="28" max="28" width="5.421875" style="11" customWidth="1"/>
    <col min="29" max="29" width="9.7109375" style="323" customWidth="1"/>
    <col min="30" max="30" width="6.00390625" style="11" hidden="1" customWidth="1"/>
    <col min="31" max="31" width="6.7109375" style="11" customWidth="1"/>
    <col min="32" max="32" width="5.421875" style="11" customWidth="1"/>
    <col min="33" max="33" width="6.57421875" style="323" customWidth="1"/>
    <col min="34" max="34" width="9.00390625" style="323" customWidth="1"/>
    <col min="35" max="35" width="9.57421875" style="11" hidden="1" customWidth="1"/>
    <col min="36" max="36" width="8.140625" style="11" customWidth="1"/>
    <col min="37" max="37" width="6.140625" style="11" customWidth="1"/>
    <col min="38" max="43" width="7.8515625" style="11" hidden="1" customWidth="1"/>
    <col min="44" max="49" width="7.8515625" style="19" hidden="1" customWidth="1"/>
    <col min="50" max="50" width="8.57421875" style="19" hidden="1" customWidth="1"/>
    <col min="51" max="52" width="7.8515625" style="19" hidden="1" customWidth="1"/>
    <col min="53" max="53" width="7.57421875" style="336" customWidth="1"/>
    <col min="54" max="57" width="7.8515625" style="19" hidden="1" customWidth="1"/>
    <col min="58" max="58" width="7.8515625" style="336" customWidth="1"/>
    <col min="59" max="60" width="8.8515625" style="19" hidden="1" customWidth="1"/>
    <col min="61" max="61" width="7.140625" style="11" customWidth="1"/>
    <col min="62" max="62" width="8.140625" style="323" customWidth="1"/>
    <col min="63" max="63" width="11.140625" style="222" bestFit="1" customWidth="1"/>
    <col min="64" max="16384" width="9.140625" style="11" customWidth="1"/>
  </cols>
  <sheetData>
    <row r="1" spans="1:63" s="267" customFormat="1" ht="33" customHeight="1" thickBot="1">
      <c r="A1" s="712" t="s">
        <v>223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  <c r="AN1" s="712"/>
      <c r="AO1" s="712"/>
      <c r="AP1" s="712"/>
      <c r="AQ1" s="712"/>
      <c r="AR1" s="712"/>
      <c r="AS1" s="712"/>
      <c r="AT1" s="712"/>
      <c r="AU1" s="712"/>
      <c r="AV1" s="712"/>
      <c r="AW1" s="712"/>
      <c r="AX1" s="712"/>
      <c r="AY1" s="712"/>
      <c r="AZ1" s="712"/>
      <c r="BA1" s="712"/>
      <c r="BB1" s="712"/>
      <c r="BC1" s="712"/>
      <c r="BD1" s="712"/>
      <c r="BE1" s="712"/>
      <c r="BF1" s="712"/>
      <c r="BG1" s="712"/>
      <c r="BH1" s="712"/>
      <c r="BI1" s="712"/>
      <c r="BJ1" s="712"/>
      <c r="BK1" s="266"/>
    </row>
    <row r="2" spans="1:63" s="267" customFormat="1" ht="30" customHeight="1" thickBot="1">
      <c r="A2" s="705"/>
      <c r="B2" s="702" t="s">
        <v>171</v>
      </c>
      <c r="C2" s="703"/>
      <c r="D2" s="703"/>
      <c r="E2" s="703"/>
      <c r="F2" s="704"/>
      <c r="G2" s="707"/>
      <c r="H2" s="707"/>
      <c r="I2" s="707"/>
      <c r="J2" s="708"/>
      <c r="K2" s="709" t="s">
        <v>117</v>
      </c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1"/>
      <c r="AI2" s="699" t="s">
        <v>230</v>
      </c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0"/>
      <c r="BD2" s="700"/>
      <c r="BE2" s="700"/>
      <c r="BF2" s="700"/>
      <c r="BG2" s="700"/>
      <c r="BH2" s="700"/>
      <c r="BI2" s="700"/>
      <c r="BJ2" s="701"/>
      <c r="BK2" s="266"/>
    </row>
    <row r="3" spans="1:63" s="283" customFormat="1" ht="78.75" customHeight="1" thickBot="1">
      <c r="A3" s="706"/>
      <c r="B3" s="268" t="s">
        <v>114</v>
      </c>
      <c r="C3" s="269" t="s">
        <v>5</v>
      </c>
      <c r="D3" s="223" t="s">
        <v>6</v>
      </c>
      <c r="E3" s="538" t="s">
        <v>115</v>
      </c>
      <c r="F3" s="539" t="s">
        <v>116</v>
      </c>
      <c r="G3" s="270" t="s">
        <v>112</v>
      </c>
      <c r="H3" s="270" t="s">
        <v>106</v>
      </c>
      <c r="I3" s="326" t="s">
        <v>113</v>
      </c>
      <c r="J3" s="327" t="s">
        <v>111</v>
      </c>
      <c r="K3" s="271">
        <v>4111</v>
      </c>
      <c r="L3" s="272">
        <v>4212</v>
      </c>
      <c r="M3" s="272">
        <v>4213</v>
      </c>
      <c r="N3" s="272">
        <v>4214</v>
      </c>
      <c r="O3" s="272">
        <v>4215</v>
      </c>
      <c r="P3" s="273" t="s">
        <v>165</v>
      </c>
      <c r="Q3" s="272">
        <v>4234</v>
      </c>
      <c r="R3" s="272">
        <v>4239</v>
      </c>
      <c r="S3" s="272">
        <v>4241</v>
      </c>
      <c r="T3" s="272">
        <v>4251</v>
      </c>
      <c r="U3" s="272">
        <v>4252</v>
      </c>
      <c r="V3" s="272">
        <v>4261</v>
      </c>
      <c r="W3" s="272">
        <v>4262</v>
      </c>
      <c r="X3" s="272" t="s">
        <v>50</v>
      </c>
      <c r="Y3" s="272">
        <v>4266</v>
      </c>
      <c r="Z3" s="272" t="s">
        <v>51</v>
      </c>
      <c r="AA3" s="272" t="s">
        <v>2</v>
      </c>
      <c r="AB3" s="272">
        <v>4823</v>
      </c>
      <c r="AC3" s="330" t="s">
        <v>206</v>
      </c>
      <c r="AD3" s="274" t="s">
        <v>55</v>
      </c>
      <c r="AE3" s="274" t="s">
        <v>49</v>
      </c>
      <c r="AF3" s="274" t="s">
        <v>57</v>
      </c>
      <c r="AG3" s="330" t="s">
        <v>207</v>
      </c>
      <c r="AH3" s="338" t="s">
        <v>208</v>
      </c>
      <c r="AI3" s="275">
        <v>4111</v>
      </c>
      <c r="AJ3" s="276">
        <v>4212</v>
      </c>
      <c r="AK3" s="276">
        <v>4213</v>
      </c>
      <c r="AL3" s="276">
        <v>4214</v>
      </c>
      <c r="AM3" s="276">
        <v>4215</v>
      </c>
      <c r="AN3" s="277" t="s">
        <v>165</v>
      </c>
      <c r="AO3" s="276">
        <v>4234</v>
      </c>
      <c r="AP3" s="276">
        <v>4239</v>
      </c>
      <c r="AQ3" s="276">
        <v>4241</v>
      </c>
      <c r="AR3" s="276">
        <v>4251</v>
      </c>
      <c r="AS3" s="276">
        <v>4252</v>
      </c>
      <c r="AT3" s="276">
        <v>4261</v>
      </c>
      <c r="AU3" s="276">
        <v>4262</v>
      </c>
      <c r="AV3" s="276" t="s">
        <v>50</v>
      </c>
      <c r="AW3" s="276">
        <v>4266</v>
      </c>
      <c r="AX3" s="276" t="s">
        <v>51</v>
      </c>
      <c r="AY3" s="276" t="s">
        <v>2</v>
      </c>
      <c r="AZ3" s="276">
        <v>4823</v>
      </c>
      <c r="BA3" s="333" t="s">
        <v>209</v>
      </c>
      <c r="BB3" s="278" t="s">
        <v>55</v>
      </c>
      <c r="BC3" s="278" t="s">
        <v>49</v>
      </c>
      <c r="BD3" s="278" t="s">
        <v>57</v>
      </c>
      <c r="BE3" s="279" t="s">
        <v>210</v>
      </c>
      <c r="BF3" s="280" t="s">
        <v>211</v>
      </c>
      <c r="BG3" s="281" t="s">
        <v>112</v>
      </c>
      <c r="BH3" s="270" t="s">
        <v>106</v>
      </c>
      <c r="BI3" s="281" t="s">
        <v>113</v>
      </c>
      <c r="BJ3" s="337" t="s">
        <v>111</v>
      </c>
      <c r="BK3" s="282"/>
    </row>
    <row r="4" spans="1:62" s="282" customFormat="1" ht="25.5" customHeight="1">
      <c r="A4" s="284" t="s">
        <v>184</v>
      </c>
      <c r="B4" s="285">
        <v>63.9</v>
      </c>
      <c r="C4" s="286">
        <v>5.8</v>
      </c>
      <c r="D4" s="287"/>
      <c r="E4" s="319">
        <f>B4+C4+D4</f>
        <v>69.7</v>
      </c>
      <c r="F4" s="324">
        <f>E4</f>
        <v>69.7</v>
      </c>
      <c r="G4" s="286"/>
      <c r="H4" s="286"/>
      <c r="I4" s="319">
        <f aca="true" t="shared" si="0" ref="I4:I15">AH4-G4-H4</f>
        <v>23140.6</v>
      </c>
      <c r="J4" s="328">
        <f>G4+I4+H4</f>
        <v>23140.6</v>
      </c>
      <c r="K4" s="288">
        <v>17035.1</v>
      </c>
      <c r="L4" s="286">
        <v>495</v>
      </c>
      <c r="M4" s="286">
        <v>183.5</v>
      </c>
      <c r="N4" s="286">
        <v>100.5</v>
      </c>
      <c r="O4" s="286"/>
      <c r="P4" s="286"/>
      <c r="Q4" s="286"/>
      <c r="R4" s="289">
        <v>3</v>
      </c>
      <c r="S4" s="286">
        <v>228</v>
      </c>
      <c r="T4" s="290"/>
      <c r="U4" s="286"/>
      <c r="V4" s="286">
        <v>192.1</v>
      </c>
      <c r="W4" s="286"/>
      <c r="X4" s="286"/>
      <c r="Y4" s="286">
        <v>18</v>
      </c>
      <c r="Z4" s="286">
        <v>4822.4</v>
      </c>
      <c r="AA4" s="286">
        <v>63</v>
      </c>
      <c r="AB4" s="286"/>
      <c r="AC4" s="319">
        <f aca="true" t="shared" si="1" ref="AC4:AC15">SUM(K4:AB4)</f>
        <v>23140.6</v>
      </c>
      <c r="AD4" s="286"/>
      <c r="AE4" s="286"/>
      <c r="AF4" s="286"/>
      <c r="AG4" s="319">
        <f>SUM(AD4:AF4)</f>
        <v>0</v>
      </c>
      <c r="AH4" s="319">
        <f>SUM(AC4,AG4)</f>
        <v>23140.6</v>
      </c>
      <c r="AI4" s="286">
        <f>K4-'hoaki dram18'!G6</f>
        <v>0</v>
      </c>
      <c r="AJ4" s="286">
        <f>L4-'hoaki dram18'!H6-B4</f>
        <v>-93.50000000000003</v>
      </c>
      <c r="AK4" s="286">
        <f>M4-'hoaki dram18'!I6-C4</f>
        <v>-4.7000000000000055</v>
      </c>
      <c r="AL4" s="286">
        <f>N4-'hoaki dram18'!J6-D4</f>
        <v>0</v>
      </c>
      <c r="AM4" s="286">
        <f>O4-'hoaki dram18'!K6</f>
        <v>0</v>
      </c>
      <c r="AN4" s="286">
        <f>P4-'hoaki dram18'!L6</f>
        <v>0</v>
      </c>
      <c r="AO4" s="286">
        <f>Q4-'hoaki dram18'!M6</f>
        <v>0</v>
      </c>
      <c r="AP4" s="286">
        <f>R4-'hoaki dram18'!N6</f>
        <v>0</v>
      </c>
      <c r="AQ4" s="286">
        <f>S4-'hoaki dram18'!O6</f>
        <v>0</v>
      </c>
      <c r="AR4" s="286">
        <f>T4-'hoaki dram18'!P6</f>
        <v>0</v>
      </c>
      <c r="AS4" s="286">
        <f>U4-'hoaki dram18'!Q6</f>
        <v>0</v>
      </c>
      <c r="AT4" s="286">
        <f>V4-'hoaki dram18'!R6</f>
        <v>0</v>
      </c>
      <c r="AU4" s="286">
        <f>W4-'hoaki dram18'!S6</f>
        <v>0</v>
      </c>
      <c r="AV4" s="286">
        <f>X4-'hoaki dram18'!T6</f>
        <v>0</v>
      </c>
      <c r="AW4" s="286">
        <f>Y4-'hoaki dram18'!U6</f>
        <v>0</v>
      </c>
      <c r="AX4" s="286">
        <f>Z4-'hoaki dram18'!V6</f>
        <v>0</v>
      </c>
      <c r="AY4" s="286">
        <f>AA4-'hoaki dram18'!W6</f>
        <v>0</v>
      </c>
      <c r="AZ4" s="286">
        <f>AB4-'hoaki dram18'!X6</f>
        <v>0</v>
      </c>
      <c r="BA4" s="319">
        <f aca="true" t="shared" si="2" ref="BA4:BA15">AI4+AJ4+AK4+AL4+AM4+AN4+AO4+AP4+AQ4+AR4+AS4+AV4++AX4+AY4+AZ4+AW4+AT4+AU4</f>
        <v>-98.20000000000003</v>
      </c>
      <c r="BB4" s="286">
        <f>AD4-'hoaki dram18'!Z6</f>
        <v>0</v>
      </c>
      <c r="BC4" s="286">
        <f>AE4-'hoaki dram18'!AA6</f>
        <v>0</v>
      </c>
      <c r="BD4" s="286">
        <f>AF4-'hoaki dram18'!AB6</f>
        <v>0</v>
      </c>
      <c r="BE4" s="286">
        <f>BB4+BC4+BD4</f>
        <v>0</v>
      </c>
      <c r="BF4" s="319">
        <f>BA4+BE4</f>
        <v>-98.20000000000003</v>
      </c>
      <c r="BG4" s="286">
        <f>G4-'hoaki dram18'!C6</f>
        <v>0</v>
      </c>
      <c r="BH4" s="286">
        <f>H4-'hoaki dram18'!D6</f>
        <v>0</v>
      </c>
      <c r="BI4" s="286">
        <f>I4-'hoaki dram18'!E6-F4</f>
        <v>-104.80000000000219</v>
      </c>
      <c r="BJ4" s="518">
        <f>BG4+BH4+BI4</f>
        <v>-104.80000000000219</v>
      </c>
    </row>
    <row r="5" spans="1:62" s="282" customFormat="1" ht="25.5" customHeight="1">
      <c r="A5" s="284" t="s">
        <v>185</v>
      </c>
      <c r="B5" s="285">
        <v>0.3</v>
      </c>
      <c r="C5" s="286">
        <v>0.4</v>
      </c>
      <c r="D5" s="286">
        <v>0.2</v>
      </c>
      <c r="E5" s="319">
        <f aca="true" t="shared" si="3" ref="E5:E27">B5+C5+D5</f>
        <v>0.8999999999999999</v>
      </c>
      <c r="F5" s="324">
        <f aca="true" t="shared" si="4" ref="F5:F27">E5</f>
        <v>0.8999999999999999</v>
      </c>
      <c r="G5" s="289"/>
      <c r="H5" s="289"/>
      <c r="I5" s="319">
        <f t="shared" si="0"/>
        <v>18046.1</v>
      </c>
      <c r="J5" s="328">
        <f aca="true" t="shared" si="5" ref="J5:J27">G5+I5+H5</f>
        <v>18046.1</v>
      </c>
      <c r="K5" s="291">
        <v>13287.5</v>
      </c>
      <c r="L5" s="289">
        <v>463.3</v>
      </c>
      <c r="M5" s="289">
        <v>148.3</v>
      </c>
      <c r="N5" s="289">
        <v>99.3</v>
      </c>
      <c r="O5" s="289"/>
      <c r="P5" s="289"/>
      <c r="Q5" s="289"/>
      <c r="R5" s="289">
        <v>3</v>
      </c>
      <c r="S5" s="289">
        <v>210</v>
      </c>
      <c r="T5" s="292"/>
      <c r="U5" s="289"/>
      <c r="V5" s="289">
        <v>139.3</v>
      </c>
      <c r="W5" s="289"/>
      <c r="X5" s="289"/>
      <c r="Y5" s="289">
        <v>13</v>
      </c>
      <c r="Z5" s="289">
        <v>3636.9</v>
      </c>
      <c r="AA5" s="289">
        <v>45.5</v>
      </c>
      <c r="AB5" s="289"/>
      <c r="AC5" s="331">
        <f t="shared" si="1"/>
        <v>18046.1</v>
      </c>
      <c r="AD5" s="289"/>
      <c r="AE5" s="289"/>
      <c r="AF5" s="289"/>
      <c r="AG5" s="331">
        <f aca="true" t="shared" si="6" ref="AG5:AG15">SUM(AD5:AF5)</f>
        <v>0</v>
      </c>
      <c r="AH5" s="331">
        <f aca="true" t="shared" si="7" ref="AH5:AH15">SUM(AC5,AG5)</f>
        <v>18046.1</v>
      </c>
      <c r="AI5" s="286">
        <f>K5-'hoaki dram18'!G7</f>
        <v>0</v>
      </c>
      <c r="AJ5" s="286">
        <f>L5-'hoaki dram18'!H7-B5</f>
        <v>-0.3999999999999659</v>
      </c>
      <c r="AK5" s="286">
        <f>M5-'hoaki dram18'!I7-C5</f>
        <v>-0.9999999999999943</v>
      </c>
      <c r="AL5" s="286">
        <f>N5-'hoaki dram18'!J7-D5</f>
        <v>2.831068712794149E-15</v>
      </c>
      <c r="AM5" s="286">
        <f>O5-'hoaki dram18'!K7</f>
        <v>0</v>
      </c>
      <c r="AN5" s="286">
        <f>P5-'hoaki dram18'!L7</f>
        <v>0</v>
      </c>
      <c r="AO5" s="286">
        <f>Q5-'hoaki dram18'!M7</f>
        <v>0</v>
      </c>
      <c r="AP5" s="286">
        <f>R5-'hoaki dram18'!N7</f>
        <v>0</v>
      </c>
      <c r="AQ5" s="286">
        <f>S5-'hoaki dram18'!O7</f>
        <v>0</v>
      </c>
      <c r="AR5" s="286">
        <f>T5-'hoaki dram18'!P7</f>
        <v>0</v>
      </c>
      <c r="AS5" s="286">
        <f>U5-'hoaki dram18'!Q7</f>
        <v>0</v>
      </c>
      <c r="AT5" s="286">
        <f>V5-'hoaki dram18'!R7</f>
        <v>0</v>
      </c>
      <c r="AU5" s="286">
        <f>W5-'hoaki dram18'!S7</f>
        <v>0</v>
      </c>
      <c r="AV5" s="286">
        <f>X5-'hoaki dram18'!T7</f>
        <v>0</v>
      </c>
      <c r="AW5" s="286">
        <f>Y5-'hoaki dram18'!U7</f>
        <v>0</v>
      </c>
      <c r="AX5" s="286">
        <f>Z5-'hoaki dram18'!V7</f>
        <v>0</v>
      </c>
      <c r="AY5" s="286">
        <f>AA5-'hoaki dram18'!W7</f>
        <v>0</v>
      </c>
      <c r="AZ5" s="286">
        <f>AB5-'hoaki dram18'!X7</f>
        <v>0</v>
      </c>
      <c r="BA5" s="319">
        <f t="shared" si="2"/>
        <v>-1.3999999999999573</v>
      </c>
      <c r="BB5" s="286">
        <f>AD5-'hoaki dram18'!Z7</f>
        <v>0</v>
      </c>
      <c r="BC5" s="286">
        <f>AE5-'hoaki dram18'!AA7</f>
        <v>0</v>
      </c>
      <c r="BD5" s="286">
        <f>AF5-'hoaki dram18'!AB7</f>
        <v>0</v>
      </c>
      <c r="BE5" s="286">
        <f aca="true" t="shared" si="8" ref="BE5:BE15">BB5+BC5+BD5</f>
        <v>0</v>
      </c>
      <c r="BF5" s="319">
        <f>BA5+BE5</f>
        <v>-1.3999999999999573</v>
      </c>
      <c r="BG5" s="286">
        <f>G5-'hoaki dram18'!C7</f>
        <v>0</v>
      </c>
      <c r="BH5" s="286">
        <f>H5-'hoaki dram18'!D7</f>
        <v>0</v>
      </c>
      <c r="BI5" s="286">
        <f>I5-'hoaki dram18'!E7-F5</f>
        <v>-4.100000000000728</v>
      </c>
      <c r="BJ5" s="319">
        <f aca="true" t="shared" si="9" ref="BJ5:BJ27">BG5+BH5+BI5</f>
        <v>-4.100000000000728</v>
      </c>
    </row>
    <row r="6" spans="1:62" s="282" customFormat="1" ht="25.5" customHeight="1">
      <c r="A6" s="284" t="s">
        <v>186</v>
      </c>
      <c r="B6" s="293">
        <v>23.8</v>
      </c>
      <c r="C6" s="289">
        <v>0.1</v>
      </c>
      <c r="D6" s="289"/>
      <c r="E6" s="319">
        <f t="shared" si="3"/>
        <v>23.900000000000002</v>
      </c>
      <c r="F6" s="324">
        <f t="shared" si="4"/>
        <v>23.900000000000002</v>
      </c>
      <c r="G6" s="289"/>
      <c r="H6" s="289"/>
      <c r="I6" s="319">
        <f t="shared" si="0"/>
        <v>17804.2</v>
      </c>
      <c r="J6" s="328">
        <f t="shared" si="5"/>
        <v>17804.2</v>
      </c>
      <c r="K6" s="291">
        <v>12958.3</v>
      </c>
      <c r="L6" s="289">
        <v>390</v>
      </c>
      <c r="M6" s="289">
        <v>139.2</v>
      </c>
      <c r="N6" s="522">
        <v>99.2</v>
      </c>
      <c r="O6" s="289"/>
      <c r="P6" s="289"/>
      <c r="Q6" s="289"/>
      <c r="R6" s="289">
        <v>3</v>
      </c>
      <c r="S6" s="289">
        <v>189</v>
      </c>
      <c r="T6" s="292"/>
      <c r="U6" s="289"/>
      <c r="V6" s="289">
        <v>139.3</v>
      </c>
      <c r="W6" s="289"/>
      <c r="X6" s="289"/>
      <c r="Y6" s="289">
        <v>13</v>
      </c>
      <c r="Z6" s="289">
        <v>3784.5</v>
      </c>
      <c r="AA6" s="289">
        <v>88.7</v>
      </c>
      <c r="AB6" s="289"/>
      <c r="AC6" s="331">
        <f t="shared" si="1"/>
        <v>17804.2</v>
      </c>
      <c r="AD6" s="289"/>
      <c r="AE6" s="289"/>
      <c r="AF6" s="289"/>
      <c r="AG6" s="331">
        <f t="shared" si="6"/>
        <v>0</v>
      </c>
      <c r="AH6" s="331">
        <f t="shared" si="7"/>
        <v>17804.2</v>
      </c>
      <c r="AI6" s="286">
        <f>K6-'hoaki dram18'!G8</f>
        <v>0</v>
      </c>
      <c r="AJ6" s="286">
        <f>L6-'hoaki dram18'!H8-B6</f>
        <v>-0.19999999999997797</v>
      </c>
      <c r="AK6" s="286">
        <f>M6-'hoaki dram18'!I8-C6</f>
        <v>-2.0000000000000058</v>
      </c>
      <c r="AL6" s="286">
        <f>N6-'hoaki dram18'!J8-D6</f>
        <v>0</v>
      </c>
      <c r="AM6" s="286">
        <f>O6-'hoaki dram18'!K8</f>
        <v>0</v>
      </c>
      <c r="AN6" s="286">
        <f>P6-'hoaki dram18'!L8</f>
        <v>0</v>
      </c>
      <c r="AO6" s="286">
        <f>Q6-'hoaki dram18'!M8</f>
        <v>0</v>
      </c>
      <c r="AP6" s="286">
        <f>R6-'hoaki dram18'!N8</f>
        <v>0</v>
      </c>
      <c r="AQ6" s="286">
        <f>S6-'hoaki dram18'!O8</f>
        <v>0</v>
      </c>
      <c r="AR6" s="286">
        <f>T6-'hoaki dram18'!P8</f>
        <v>0</v>
      </c>
      <c r="AS6" s="286">
        <f>U6-'hoaki dram18'!Q8</f>
        <v>0</v>
      </c>
      <c r="AT6" s="286">
        <f>V6-'hoaki dram18'!R8</f>
        <v>0</v>
      </c>
      <c r="AU6" s="286">
        <f>W6-'hoaki dram18'!S8</f>
        <v>0</v>
      </c>
      <c r="AV6" s="286">
        <f>X6-'hoaki dram18'!T8</f>
        <v>0</v>
      </c>
      <c r="AW6" s="286">
        <f>Y6-'hoaki dram18'!U8</f>
        <v>0</v>
      </c>
      <c r="AX6" s="286">
        <f>Z6-'hoaki dram18'!V8</f>
        <v>0</v>
      </c>
      <c r="AY6" s="286">
        <f>AA6-'hoaki dram18'!W8</f>
        <v>0</v>
      </c>
      <c r="AZ6" s="286">
        <f>AB6-'hoaki dram18'!X8</f>
        <v>0</v>
      </c>
      <c r="BA6" s="319">
        <f t="shared" si="2"/>
        <v>-2.1999999999999837</v>
      </c>
      <c r="BB6" s="286">
        <f>AD6-'hoaki dram18'!Z8</f>
        <v>0</v>
      </c>
      <c r="BC6" s="286">
        <f>AE6-'hoaki dram18'!AA8</f>
        <v>0</v>
      </c>
      <c r="BD6" s="286">
        <f>AF6-'hoaki dram18'!AB8</f>
        <v>0</v>
      </c>
      <c r="BE6" s="286">
        <f t="shared" si="8"/>
        <v>0</v>
      </c>
      <c r="BF6" s="319">
        <f aca="true" t="shared" si="10" ref="BF6:BF23">BA6+BE6</f>
        <v>-2.1999999999999837</v>
      </c>
      <c r="BG6" s="286">
        <f>G6-'hoaki dram18'!C8</f>
        <v>0</v>
      </c>
      <c r="BH6" s="286">
        <f>H6-'hoaki dram18'!D8</f>
        <v>0</v>
      </c>
      <c r="BI6" s="286">
        <f>I6-'hoaki dram18'!E8-F6</f>
        <v>-3.999999999998547</v>
      </c>
      <c r="BJ6" s="518">
        <f t="shared" si="9"/>
        <v>-3.999999999998547</v>
      </c>
    </row>
    <row r="7" spans="1:62" s="282" customFormat="1" ht="25.5" customHeight="1">
      <c r="A7" s="284" t="s">
        <v>187</v>
      </c>
      <c r="B7" s="293">
        <v>240.7</v>
      </c>
      <c r="C7" s="289">
        <v>0.1</v>
      </c>
      <c r="D7" s="289"/>
      <c r="E7" s="319">
        <f t="shared" si="3"/>
        <v>240.79999999999998</v>
      </c>
      <c r="F7" s="324">
        <f t="shared" si="4"/>
        <v>240.79999999999998</v>
      </c>
      <c r="G7" s="289"/>
      <c r="H7" s="289"/>
      <c r="I7" s="319">
        <f t="shared" si="0"/>
        <v>30364.1</v>
      </c>
      <c r="J7" s="328">
        <f t="shared" si="5"/>
        <v>30364.1</v>
      </c>
      <c r="K7" s="291">
        <v>20359.8</v>
      </c>
      <c r="L7" s="289">
        <v>1238.1</v>
      </c>
      <c r="M7" s="289">
        <v>267.1</v>
      </c>
      <c r="N7" s="289">
        <v>99.3</v>
      </c>
      <c r="O7" s="289"/>
      <c r="P7" s="289"/>
      <c r="Q7" s="289"/>
      <c r="R7" s="289"/>
      <c r="S7" s="289">
        <v>315</v>
      </c>
      <c r="T7" s="292"/>
      <c r="U7" s="289"/>
      <c r="V7" s="289">
        <v>266.4</v>
      </c>
      <c r="W7" s="289"/>
      <c r="X7" s="289"/>
      <c r="Y7" s="289">
        <v>28</v>
      </c>
      <c r="Z7" s="289">
        <v>7488.9</v>
      </c>
      <c r="AA7" s="289">
        <v>98</v>
      </c>
      <c r="AB7" s="289"/>
      <c r="AC7" s="331">
        <f t="shared" si="1"/>
        <v>30160.6</v>
      </c>
      <c r="AD7" s="289"/>
      <c r="AE7" s="289">
        <v>203.5</v>
      </c>
      <c r="AF7" s="289"/>
      <c r="AG7" s="331">
        <f t="shared" si="6"/>
        <v>203.5</v>
      </c>
      <c r="AH7" s="331">
        <f t="shared" si="7"/>
        <v>30364.1</v>
      </c>
      <c r="AI7" s="286">
        <f>K7-'hoaki dram18'!G9</f>
        <v>0</v>
      </c>
      <c r="AJ7" s="286">
        <f>L7-'hoaki dram18'!H9-B7</f>
        <v>-336.7</v>
      </c>
      <c r="AK7" s="286">
        <f>M7-'hoaki dram18'!I9-C7</f>
        <v>-7.899999999999954</v>
      </c>
      <c r="AL7" s="286">
        <f>N7-'hoaki dram18'!J9-D7</f>
        <v>0</v>
      </c>
      <c r="AM7" s="286">
        <f>O7-'hoaki dram18'!K9</f>
        <v>0</v>
      </c>
      <c r="AN7" s="286">
        <f>P7-'hoaki dram18'!L9</f>
        <v>0</v>
      </c>
      <c r="AO7" s="286">
        <f>Q7-'hoaki dram18'!M9</f>
        <v>0</v>
      </c>
      <c r="AP7" s="286">
        <f>R7-'hoaki dram18'!N9</f>
        <v>0</v>
      </c>
      <c r="AQ7" s="286">
        <f>S7-'hoaki dram18'!O9</f>
        <v>0</v>
      </c>
      <c r="AR7" s="286">
        <f>T7-'hoaki dram18'!P9</f>
        <v>0</v>
      </c>
      <c r="AS7" s="286">
        <f>U7-'hoaki dram18'!Q9</f>
        <v>0</v>
      </c>
      <c r="AT7" s="286">
        <f>V7-'hoaki dram18'!R9</f>
        <v>0</v>
      </c>
      <c r="AU7" s="286">
        <f>W7-'hoaki dram18'!S9</f>
        <v>0</v>
      </c>
      <c r="AV7" s="286">
        <f>X7-'hoaki dram18'!T9</f>
        <v>0</v>
      </c>
      <c r="AW7" s="286">
        <f>Y7-'hoaki dram18'!U9</f>
        <v>0</v>
      </c>
      <c r="AX7" s="286">
        <f>Z7-'hoaki dram18'!V9</f>
        <v>0</v>
      </c>
      <c r="AY7" s="286">
        <f>AA7-'hoaki dram18'!W9</f>
        <v>0</v>
      </c>
      <c r="AZ7" s="286">
        <f>AB7-'hoaki dram18'!X9</f>
        <v>0</v>
      </c>
      <c r="BA7" s="319">
        <f t="shared" si="2"/>
        <v>-344.59999999999997</v>
      </c>
      <c r="BB7" s="286">
        <f>AD7-'hoaki dram18'!Z9</f>
        <v>0</v>
      </c>
      <c r="BC7" s="286">
        <f>AE7-'hoaki dram18'!AA9</f>
        <v>0</v>
      </c>
      <c r="BD7" s="286">
        <f>AF7-'hoaki dram18'!AB9</f>
        <v>0</v>
      </c>
      <c r="BE7" s="286">
        <f t="shared" si="8"/>
        <v>0</v>
      </c>
      <c r="BF7" s="319">
        <f t="shared" si="10"/>
        <v>-344.59999999999997</v>
      </c>
      <c r="BG7" s="286">
        <f>G7-'hoaki dram18'!C9</f>
        <v>0</v>
      </c>
      <c r="BH7" s="286">
        <f>H7-'hoaki dram18'!D9</f>
        <v>0</v>
      </c>
      <c r="BI7" s="286">
        <f>I7-'hoaki dram18'!E9-F7</f>
        <v>-347.0000000000007</v>
      </c>
      <c r="BJ7" s="319">
        <f t="shared" si="9"/>
        <v>-347.0000000000007</v>
      </c>
    </row>
    <row r="8" spans="1:62" s="282" customFormat="1" ht="25.5" customHeight="1">
      <c r="A8" s="284" t="s">
        <v>188</v>
      </c>
      <c r="B8" s="293">
        <v>3.4</v>
      </c>
      <c r="C8" s="289">
        <v>3</v>
      </c>
      <c r="D8" s="289"/>
      <c r="E8" s="319">
        <f t="shared" si="3"/>
        <v>6.4</v>
      </c>
      <c r="F8" s="324">
        <f t="shared" si="4"/>
        <v>6.4</v>
      </c>
      <c r="G8" s="289"/>
      <c r="H8" s="289"/>
      <c r="I8" s="319">
        <f t="shared" si="0"/>
        <v>18085.899999999998</v>
      </c>
      <c r="J8" s="328">
        <f t="shared" si="5"/>
        <v>18085.899999999998</v>
      </c>
      <c r="K8" s="291">
        <v>13316.3</v>
      </c>
      <c r="L8" s="289">
        <v>538.1</v>
      </c>
      <c r="M8" s="289">
        <v>125.1</v>
      </c>
      <c r="N8" s="289">
        <v>100.5</v>
      </c>
      <c r="O8" s="289"/>
      <c r="P8" s="289"/>
      <c r="Q8" s="289"/>
      <c r="R8" s="289">
        <v>3</v>
      </c>
      <c r="S8" s="289">
        <v>186</v>
      </c>
      <c r="T8" s="292"/>
      <c r="U8" s="289"/>
      <c r="V8" s="289">
        <v>139.3</v>
      </c>
      <c r="W8" s="289"/>
      <c r="X8" s="289"/>
      <c r="Y8" s="289">
        <v>13</v>
      </c>
      <c r="Z8" s="289">
        <v>3620.5</v>
      </c>
      <c r="AA8" s="289">
        <v>44.1</v>
      </c>
      <c r="AB8" s="289"/>
      <c r="AC8" s="331">
        <f t="shared" si="1"/>
        <v>18085.899999999998</v>
      </c>
      <c r="AD8" s="289"/>
      <c r="AE8" s="289"/>
      <c r="AF8" s="289"/>
      <c r="AG8" s="331">
        <f t="shared" si="6"/>
        <v>0</v>
      </c>
      <c r="AH8" s="331">
        <f t="shared" si="7"/>
        <v>18085.899999999998</v>
      </c>
      <c r="AI8" s="286">
        <f>K8-'hoaki dram18'!G10</f>
        <v>0</v>
      </c>
      <c r="AJ8" s="286">
        <f>L8-'hoaki dram18'!H10-B8</f>
        <v>-1.7999999999999772</v>
      </c>
      <c r="AK8" s="286">
        <f>M8-'hoaki dram18'!I10-C8</f>
        <v>-3.6000000000000085</v>
      </c>
      <c r="AL8" s="286">
        <f>N8-'hoaki dram18'!J10-D8</f>
        <v>0</v>
      </c>
      <c r="AM8" s="286">
        <f>O8-'hoaki dram18'!K10</f>
        <v>0</v>
      </c>
      <c r="AN8" s="286">
        <f>P8-'hoaki dram18'!L10</f>
        <v>0</v>
      </c>
      <c r="AO8" s="286">
        <f>Q8-'hoaki dram18'!M10</f>
        <v>0</v>
      </c>
      <c r="AP8" s="286">
        <f>R8-'hoaki dram18'!N10</f>
        <v>0</v>
      </c>
      <c r="AQ8" s="286">
        <f>S8-'hoaki dram18'!O10</f>
        <v>0</v>
      </c>
      <c r="AR8" s="286">
        <f>T8-'hoaki dram18'!P10</f>
        <v>0</v>
      </c>
      <c r="AS8" s="286">
        <f>U8-'hoaki dram18'!Q10</f>
        <v>0</v>
      </c>
      <c r="AT8" s="286">
        <f>V8-'hoaki dram18'!R10</f>
        <v>0</v>
      </c>
      <c r="AU8" s="286">
        <f>W8-'hoaki dram18'!S10</f>
        <v>0</v>
      </c>
      <c r="AV8" s="286">
        <f>X8-'hoaki dram18'!T10</f>
        <v>0</v>
      </c>
      <c r="AW8" s="286">
        <f>Y8-'hoaki dram18'!U10</f>
        <v>0</v>
      </c>
      <c r="AX8" s="286">
        <f>Z8-'hoaki dram18'!V10</f>
        <v>0</v>
      </c>
      <c r="AY8" s="286">
        <f>AA8-'hoaki dram18'!W10</f>
        <v>0</v>
      </c>
      <c r="AZ8" s="286">
        <f>AB8-'hoaki dram18'!X10</f>
        <v>0</v>
      </c>
      <c r="BA8" s="319">
        <f t="shared" si="2"/>
        <v>-5.399999999999986</v>
      </c>
      <c r="BB8" s="286">
        <f>AD8-'hoaki dram18'!Z10</f>
        <v>0</v>
      </c>
      <c r="BC8" s="286">
        <f>AE8-'hoaki dram18'!AA10</f>
        <v>0</v>
      </c>
      <c r="BD8" s="286">
        <f>AF8-'hoaki dram18'!AB10</f>
        <v>0</v>
      </c>
      <c r="BE8" s="286">
        <f t="shared" si="8"/>
        <v>0</v>
      </c>
      <c r="BF8" s="319">
        <f t="shared" si="10"/>
        <v>-5.399999999999986</v>
      </c>
      <c r="BG8" s="286">
        <f>G8-'hoaki dram18'!C10</f>
        <v>0</v>
      </c>
      <c r="BH8" s="286">
        <f>H8-'hoaki dram18'!D10</f>
        <v>0</v>
      </c>
      <c r="BI8" s="286">
        <f>I8-'hoaki dram18'!E10-F8</f>
        <v>-6.700000000002911</v>
      </c>
      <c r="BJ8" s="319">
        <f t="shared" si="9"/>
        <v>-6.700000000002911</v>
      </c>
    </row>
    <row r="9" spans="1:62" s="282" customFormat="1" ht="25.5" customHeight="1">
      <c r="A9" s="284" t="s">
        <v>189</v>
      </c>
      <c r="B9" s="293">
        <v>0.4</v>
      </c>
      <c r="C9" s="289"/>
      <c r="D9" s="289"/>
      <c r="E9" s="319">
        <f t="shared" si="3"/>
        <v>0.4</v>
      </c>
      <c r="F9" s="324">
        <f t="shared" si="4"/>
        <v>0.4</v>
      </c>
      <c r="G9" s="289"/>
      <c r="H9" s="289"/>
      <c r="I9" s="319">
        <f t="shared" si="0"/>
        <v>23081</v>
      </c>
      <c r="J9" s="328">
        <f t="shared" si="5"/>
        <v>23081</v>
      </c>
      <c r="K9" s="291">
        <v>16681.3</v>
      </c>
      <c r="L9" s="289">
        <v>527.8</v>
      </c>
      <c r="M9" s="289">
        <v>197.2</v>
      </c>
      <c r="N9" s="289">
        <v>100.5</v>
      </c>
      <c r="O9" s="289"/>
      <c r="P9" s="289"/>
      <c r="Q9" s="289"/>
      <c r="R9" s="289">
        <v>3</v>
      </c>
      <c r="S9" s="289">
        <v>249</v>
      </c>
      <c r="T9" s="292"/>
      <c r="U9" s="289"/>
      <c r="V9" s="289">
        <v>192.1</v>
      </c>
      <c r="W9" s="289"/>
      <c r="X9" s="289"/>
      <c r="Y9" s="289">
        <v>18</v>
      </c>
      <c r="Z9" s="289">
        <v>5049.1</v>
      </c>
      <c r="AA9" s="289">
        <v>63</v>
      </c>
      <c r="AB9" s="289"/>
      <c r="AC9" s="331">
        <f t="shared" si="1"/>
        <v>23081</v>
      </c>
      <c r="AD9" s="289"/>
      <c r="AE9" s="289"/>
      <c r="AF9" s="289"/>
      <c r="AG9" s="331">
        <f t="shared" si="6"/>
        <v>0</v>
      </c>
      <c r="AH9" s="331">
        <f t="shared" si="7"/>
        <v>23081</v>
      </c>
      <c r="AI9" s="286">
        <f>K9-'hoaki dram18'!G11</f>
        <v>0</v>
      </c>
      <c r="AJ9" s="286">
        <f>L9-'hoaki dram18'!H11-B9</f>
        <v>-0.5000000000000228</v>
      </c>
      <c r="AK9" s="286">
        <f>M9-'hoaki dram18'!I11-C9</f>
        <v>-0.4000000000000057</v>
      </c>
      <c r="AL9" s="286">
        <f>N9-'hoaki dram18'!J11-D9</f>
        <v>0</v>
      </c>
      <c r="AM9" s="286">
        <f>O9-'hoaki dram18'!K11</f>
        <v>0</v>
      </c>
      <c r="AN9" s="286">
        <f>P9-'hoaki dram18'!L11</f>
        <v>0</v>
      </c>
      <c r="AO9" s="286">
        <f>Q9-'hoaki dram18'!M11</f>
        <v>0</v>
      </c>
      <c r="AP9" s="286">
        <f>R9-'hoaki dram18'!N11</f>
        <v>0</v>
      </c>
      <c r="AQ9" s="286">
        <f>S9-'hoaki dram18'!O11</f>
        <v>0</v>
      </c>
      <c r="AR9" s="286">
        <f>T9-'hoaki dram18'!P11</f>
        <v>0</v>
      </c>
      <c r="AS9" s="286">
        <f>U9-'hoaki dram18'!Q11</f>
        <v>0</v>
      </c>
      <c r="AT9" s="286">
        <f>V9-'hoaki dram18'!R11</f>
        <v>0</v>
      </c>
      <c r="AU9" s="286">
        <f>W9-'hoaki dram18'!S11</f>
        <v>0</v>
      </c>
      <c r="AV9" s="286">
        <f>X9-'hoaki dram18'!T11</f>
        <v>0</v>
      </c>
      <c r="AW9" s="286">
        <f>Y9-'hoaki dram18'!U11</f>
        <v>0</v>
      </c>
      <c r="AX9" s="286">
        <f>Z9-'hoaki dram18'!V11</f>
        <v>0</v>
      </c>
      <c r="AY9" s="286">
        <f>AA9-'hoaki dram18'!W11</f>
        <v>0</v>
      </c>
      <c r="AZ9" s="286">
        <f>AB9-'hoaki dram18'!X11</f>
        <v>0</v>
      </c>
      <c r="BA9" s="319">
        <f t="shared" si="2"/>
        <v>-0.9000000000000284</v>
      </c>
      <c r="BB9" s="286">
        <f>AD9-'hoaki dram18'!Z11</f>
        <v>0</v>
      </c>
      <c r="BC9" s="286">
        <f>AE9-'hoaki dram18'!AA11</f>
        <v>0</v>
      </c>
      <c r="BD9" s="286">
        <f>AF9-'hoaki dram18'!AB11</f>
        <v>0</v>
      </c>
      <c r="BE9" s="286">
        <f t="shared" si="8"/>
        <v>0</v>
      </c>
      <c r="BF9" s="319">
        <f t="shared" si="10"/>
        <v>-0.9000000000000284</v>
      </c>
      <c r="BG9" s="286">
        <f>G9-'hoaki dram18'!C11</f>
        <v>0</v>
      </c>
      <c r="BH9" s="286">
        <f>H9-'hoaki dram18'!D11</f>
        <v>0</v>
      </c>
      <c r="BI9" s="286">
        <f>I9-'hoaki dram18'!E11-F9</f>
        <v>-2.800000000001455</v>
      </c>
      <c r="BJ9" s="319">
        <f t="shared" si="9"/>
        <v>-2.800000000001455</v>
      </c>
    </row>
    <row r="10" spans="1:62" s="282" customFormat="1" ht="25.5" customHeight="1">
      <c r="A10" s="284" t="s">
        <v>190</v>
      </c>
      <c r="B10" s="293">
        <v>11</v>
      </c>
      <c r="C10" s="289">
        <v>0.4</v>
      </c>
      <c r="D10" s="289"/>
      <c r="E10" s="319">
        <f t="shared" si="3"/>
        <v>11.4</v>
      </c>
      <c r="F10" s="324">
        <f t="shared" si="4"/>
        <v>11.4</v>
      </c>
      <c r="G10" s="289"/>
      <c r="H10" s="289"/>
      <c r="I10" s="319">
        <f t="shared" si="0"/>
        <v>23744.899999999998</v>
      </c>
      <c r="J10" s="328">
        <f t="shared" si="5"/>
        <v>23744.899999999998</v>
      </c>
      <c r="K10" s="291">
        <v>17174.3</v>
      </c>
      <c r="L10" s="289">
        <v>515.1</v>
      </c>
      <c r="M10" s="289">
        <v>184.9</v>
      </c>
      <c r="N10" s="289">
        <v>100.5</v>
      </c>
      <c r="O10" s="289"/>
      <c r="P10" s="289"/>
      <c r="Q10" s="289"/>
      <c r="R10" s="289">
        <v>3</v>
      </c>
      <c r="S10" s="289">
        <v>246</v>
      </c>
      <c r="T10" s="292"/>
      <c r="U10" s="289"/>
      <c r="V10" s="289">
        <v>192.1</v>
      </c>
      <c r="W10" s="289"/>
      <c r="X10" s="289"/>
      <c r="Y10" s="289">
        <v>18</v>
      </c>
      <c r="Z10" s="289">
        <v>5248</v>
      </c>
      <c r="AA10" s="289">
        <v>63</v>
      </c>
      <c r="AB10" s="289"/>
      <c r="AC10" s="331">
        <f t="shared" si="1"/>
        <v>23744.899999999998</v>
      </c>
      <c r="AD10" s="289"/>
      <c r="AE10" s="289"/>
      <c r="AF10" s="289"/>
      <c r="AG10" s="331">
        <f t="shared" si="6"/>
        <v>0</v>
      </c>
      <c r="AH10" s="331">
        <f t="shared" si="7"/>
        <v>23744.899999999998</v>
      </c>
      <c r="AI10" s="286">
        <f>K10-'hoaki dram18'!G12</f>
        <v>0</v>
      </c>
      <c r="AJ10" s="286">
        <f>L10-'hoaki dram18'!H12-B10</f>
        <v>-19.100000000000023</v>
      </c>
      <c r="AK10" s="286">
        <f>M10-'hoaki dram18'!I12-C10</f>
        <v>-1.5999999999999885</v>
      </c>
      <c r="AL10" s="286">
        <f>N10-'hoaki dram18'!J12-D10</f>
        <v>0</v>
      </c>
      <c r="AM10" s="286">
        <f>O10-'hoaki dram18'!K12</f>
        <v>0</v>
      </c>
      <c r="AN10" s="286">
        <f>P10-'hoaki dram18'!L12</f>
        <v>0</v>
      </c>
      <c r="AO10" s="286">
        <f>Q10-'hoaki dram18'!M12</f>
        <v>0</v>
      </c>
      <c r="AP10" s="286">
        <f>R10-'hoaki dram18'!N12</f>
        <v>0</v>
      </c>
      <c r="AQ10" s="286">
        <f>S10-'hoaki dram18'!O12</f>
        <v>0</v>
      </c>
      <c r="AR10" s="286">
        <f>T10-'hoaki dram18'!P12</f>
        <v>0</v>
      </c>
      <c r="AS10" s="286">
        <f>U10-'hoaki dram18'!Q12</f>
        <v>0</v>
      </c>
      <c r="AT10" s="286">
        <f>V10-'hoaki dram18'!R12</f>
        <v>0</v>
      </c>
      <c r="AU10" s="286">
        <f>W10-'hoaki dram18'!S12</f>
        <v>0</v>
      </c>
      <c r="AV10" s="286">
        <f>X10-'hoaki dram18'!T12</f>
        <v>0</v>
      </c>
      <c r="AW10" s="286">
        <f>Y10-'hoaki dram18'!U12</f>
        <v>0</v>
      </c>
      <c r="AX10" s="286">
        <f>Z10-'hoaki dram18'!V12</f>
        <v>0</v>
      </c>
      <c r="AY10" s="286">
        <f>AA10-'hoaki dram18'!W12</f>
        <v>0</v>
      </c>
      <c r="AZ10" s="286">
        <f>AB10-'hoaki dram18'!X12</f>
        <v>0</v>
      </c>
      <c r="BA10" s="319">
        <f t="shared" si="2"/>
        <v>-20.70000000000001</v>
      </c>
      <c r="BB10" s="286">
        <f>AD10-'hoaki dram18'!Z12</f>
        <v>0</v>
      </c>
      <c r="BC10" s="286">
        <f>AE10-'hoaki dram18'!AA12</f>
        <v>0</v>
      </c>
      <c r="BD10" s="286">
        <f>AF10-'hoaki dram18'!AB12</f>
        <v>0</v>
      </c>
      <c r="BE10" s="286">
        <f t="shared" si="8"/>
        <v>0</v>
      </c>
      <c r="BF10" s="319">
        <f t="shared" si="10"/>
        <v>-20.70000000000001</v>
      </c>
      <c r="BG10" s="286">
        <f>G10-'hoaki dram18'!C12</f>
        <v>0</v>
      </c>
      <c r="BH10" s="286">
        <f>H10-'hoaki dram18'!D12</f>
        <v>0</v>
      </c>
      <c r="BI10" s="286">
        <f>I10-'hoaki dram18'!E12-F10</f>
        <v>-20.70000000000291</v>
      </c>
      <c r="BJ10" s="319">
        <f t="shared" si="9"/>
        <v>-20.70000000000291</v>
      </c>
    </row>
    <row r="11" spans="1:62" s="282" customFormat="1" ht="25.5" customHeight="1">
      <c r="A11" s="284" t="s">
        <v>191</v>
      </c>
      <c r="B11" s="293">
        <v>10.7</v>
      </c>
      <c r="C11" s="289"/>
      <c r="D11" s="289"/>
      <c r="E11" s="319">
        <f t="shared" si="3"/>
        <v>10.7</v>
      </c>
      <c r="F11" s="324">
        <f t="shared" si="4"/>
        <v>10.7</v>
      </c>
      <c r="G11" s="289"/>
      <c r="H11" s="289"/>
      <c r="I11" s="319">
        <f t="shared" si="0"/>
        <v>30414</v>
      </c>
      <c r="J11" s="328">
        <f t="shared" si="5"/>
        <v>30414</v>
      </c>
      <c r="K11" s="291">
        <v>19742.4</v>
      </c>
      <c r="L11" s="289">
        <v>824.8</v>
      </c>
      <c r="M11" s="289">
        <v>241.3</v>
      </c>
      <c r="N11" s="289">
        <v>100.5</v>
      </c>
      <c r="O11" s="289"/>
      <c r="P11" s="289"/>
      <c r="Q11" s="289"/>
      <c r="R11" s="289">
        <v>3</v>
      </c>
      <c r="S11" s="289">
        <v>537.3</v>
      </c>
      <c r="T11" s="292"/>
      <c r="U11" s="289"/>
      <c r="V11" s="289">
        <v>272.1</v>
      </c>
      <c r="W11" s="289"/>
      <c r="X11" s="289"/>
      <c r="Y11" s="289">
        <v>23</v>
      </c>
      <c r="Z11" s="289">
        <v>7539.1</v>
      </c>
      <c r="AA11" s="289">
        <v>98</v>
      </c>
      <c r="AB11" s="289"/>
      <c r="AC11" s="331">
        <f t="shared" si="1"/>
        <v>29381.5</v>
      </c>
      <c r="AD11" s="289"/>
      <c r="AE11" s="289">
        <v>1032.5</v>
      </c>
      <c r="AF11" s="289"/>
      <c r="AG11" s="331">
        <f t="shared" si="6"/>
        <v>1032.5</v>
      </c>
      <c r="AH11" s="331">
        <f t="shared" si="7"/>
        <v>30414</v>
      </c>
      <c r="AI11" s="286">
        <f>K11-'hoaki dram18'!G13</f>
        <v>0</v>
      </c>
      <c r="AJ11" s="286">
        <f>L11-'hoaki dram18'!H13-B11</f>
        <v>-73.00000000000007</v>
      </c>
      <c r="AK11" s="286">
        <f>M11-'hoaki dram18'!I13-C11</f>
        <v>0</v>
      </c>
      <c r="AL11" s="286">
        <f>N11-'hoaki dram18'!J13-D11</f>
        <v>0</v>
      </c>
      <c r="AM11" s="286">
        <f>O11-'hoaki dram18'!K13</f>
        <v>0</v>
      </c>
      <c r="AN11" s="286">
        <f>P11-'hoaki dram18'!L13</f>
        <v>0</v>
      </c>
      <c r="AO11" s="286">
        <f>Q11-'hoaki dram18'!M13</f>
        <v>0</v>
      </c>
      <c r="AP11" s="286">
        <f>R11-'hoaki dram18'!N13</f>
        <v>0</v>
      </c>
      <c r="AQ11" s="286">
        <f>S11-'hoaki dram18'!O13</f>
        <v>0</v>
      </c>
      <c r="AR11" s="286">
        <f>T11-'hoaki dram18'!P13</f>
        <v>0</v>
      </c>
      <c r="AS11" s="286">
        <f>U11-'hoaki dram18'!Q13</f>
        <v>0</v>
      </c>
      <c r="AT11" s="286">
        <f>V11-'hoaki dram18'!R13</f>
        <v>0</v>
      </c>
      <c r="AU11" s="286">
        <f>W11-'hoaki dram18'!S13</f>
        <v>0</v>
      </c>
      <c r="AV11" s="286">
        <f>X11-'hoaki dram18'!T13</f>
        <v>0</v>
      </c>
      <c r="AW11" s="286">
        <f>Y11-'hoaki dram18'!U13</f>
        <v>0</v>
      </c>
      <c r="AX11" s="286">
        <f>Z11-'hoaki dram18'!V13</f>
        <v>0</v>
      </c>
      <c r="AY11" s="286">
        <f>AA11-'hoaki dram18'!W13</f>
        <v>0</v>
      </c>
      <c r="AZ11" s="286">
        <f>AB11-'hoaki dram18'!X13</f>
        <v>0</v>
      </c>
      <c r="BA11" s="319">
        <f t="shared" si="2"/>
        <v>-73.00000000000007</v>
      </c>
      <c r="BB11" s="286">
        <f>AD11-'hoaki dram18'!Z13</f>
        <v>0</v>
      </c>
      <c r="BC11" s="286">
        <f>AE11-'hoaki dram18'!AA13</f>
        <v>0</v>
      </c>
      <c r="BD11" s="286">
        <f>AF11-'hoaki dram18'!AB13</f>
        <v>0</v>
      </c>
      <c r="BE11" s="286">
        <f t="shared" si="8"/>
        <v>0</v>
      </c>
      <c r="BF11" s="319">
        <f t="shared" si="10"/>
        <v>-73.00000000000007</v>
      </c>
      <c r="BG11" s="286">
        <f>G11-'hoaki dram18'!C13</f>
        <v>0</v>
      </c>
      <c r="BH11" s="286">
        <f>H11-'hoaki dram18'!D13</f>
        <v>0</v>
      </c>
      <c r="BI11" s="286">
        <f>I11-'hoaki dram18'!E13-F11</f>
        <v>-77.60000000000146</v>
      </c>
      <c r="BJ11" s="319">
        <f t="shared" si="9"/>
        <v>-77.60000000000146</v>
      </c>
    </row>
    <row r="12" spans="1:62" s="282" customFormat="1" ht="25.5" customHeight="1">
      <c r="A12" s="284" t="s">
        <v>192</v>
      </c>
      <c r="B12" s="293">
        <v>0</v>
      </c>
      <c r="C12" s="289">
        <v>0</v>
      </c>
      <c r="D12" s="289"/>
      <c r="E12" s="319">
        <f t="shared" si="3"/>
        <v>0</v>
      </c>
      <c r="F12" s="324">
        <f t="shared" si="4"/>
        <v>0</v>
      </c>
      <c r="G12" s="289"/>
      <c r="H12" s="289"/>
      <c r="I12" s="319">
        <f t="shared" si="0"/>
        <v>24003</v>
      </c>
      <c r="J12" s="328">
        <f t="shared" si="5"/>
        <v>24003</v>
      </c>
      <c r="K12" s="291">
        <v>17226.9</v>
      </c>
      <c r="L12" s="289">
        <v>533</v>
      </c>
      <c r="M12" s="289">
        <v>302.3</v>
      </c>
      <c r="N12" s="289">
        <v>99.8</v>
      </c>
      <c r="O12" s="289"/>
      <c r="P12" s="289"/>
      <c r="Q12" s="289"/>
      <c r="R12" s="289">
        <v>3</v>
      </c>
      <c r="S12" s="289">
        <v>231</v>
      </c>
      <c r="T12" s="292"/>
      <c r="U12" s="289"/>
      <c r="V12" s="289">
        <v>192.1</v>
      </c>
      <c r="W12" s="289"/>
      <c r="X12" s="289"/>
      <c r="Y12" s="289">
        <v>18</v>
      </c>
      <c r="Z12" s="289">
        <v>5333.9</v>
      </c>
      <c r="AA12" s="289">
        <v>63</v>
      </c>
      <c r="AB12" s="289"/>
      <c r="AC12" s="331">
        <f t="shared" si="1"/>
        <v>24003</v>
      </c>
      <c r="AD12" s="289"/>
      <c r="AE12" s="289"/>
      <c r="AF12" s="289"/>
      <c r="AG12" s="331">
        <f t="shared" si="6"/>
        <v>0</v>
      </c>
      <c r="AH12" s="331">
        <f t="shared" si="7"/>
        <v>24003</v>
      </c>
      <c r="AI12" s="286">
        <f>K12-'hoaki dram18'!G14</f>
        <v>0</v>
      </c>
      <c r="AJ12" s="286">
        <f>L12-'hoaki dram18'!H14-B12</f>
        <v>-0.20000000000004547</v>
      </c>
      <c r="AK12" s="286">
        <f>M12-'hoaki dram18'!I14-C12</f>
        <v>-3.6999999999999886</v>
      </c>
      <c r="AL12" s="286">
        <f>N12-'hoaki dram18'!J14-D12</f>
        <v>0</v>
      </c>
      <c r="AM12" s="286">
        <f>O12-'hoaki dram18'!K14</f>
        <v>0</v>
      </c>
      <c r="AN12" s="286">
        <f>P12-'hoaki dram18'!L14</f>
        <v>0</v>
      </c>
      <c r="AO12" s="286">
        <f>Q12-'hoaki dram18'!M14</f>
        <v>0</v>
      </c>
      <c r="AP12" s="286">
        <f>R12-'hoaki dram18'!N14</f>
        <v>0</v>
      </c>
      <c r="AQ12" s="286">
        <f>S12-'hoaki dram18'!O14</f>
        <v>0</v>
      </c>
      <c r="AR12" s="286">
        <f>T12-'hoaki dram18'!P14</f>
        <v>0</v>
      </c>
      <c r="AS12" s="286">
        <f>U12-'hoaki dram18'!Q14</f>
        <v>0</v>
      </c>
      <c r="AT12" s="286">
        <f>V12-'hoaki dram18'!R14</f>
        <v>0</v>
      </c>
      <c r="AU12" s="286">
        <f>W12-'hoaki dram18'!S14</f>
        <v>0</v>
      </c>
      <c r="AV12" s="286">
        <f>X12-'hoaki dram18'!T14</f>
        <v>0</v>
      </c>
      <c r="AW12" s="286">
        <f>Y12-'hoaki dram18'!U14</f>
        <v>0</v>
      </c>
      <c r="AX12" s="286">
        <f>Z12-'hoaki dram18'!V14</f>
        <v>0</v>
      </c>
      <c r="AY12" s="286">
        <f>AA12-'hoaki dram18'!W14</f>
        <v>0</v>
      </c>
      <c r="AZ12" s="286">
        <f>AB12-'hoaki dram18'!X14</f>
        <v>0</v>
      </c>
      <c r="BA12" s="319">
        <f t="shared" si="2"/>
        <v>-3.900000000000034</v>
      </c>
      <c r="BB12" s="286">
        <f>AD12-'hoaki dram18'!Z14</f>
        <v>0</v>
      </c>
      <c r="BC12" s="286">
        <f>AE12-'hoaki dram18'!AA14</f>
        <v>0</v>
      </c>
      <c r="BD12" s="286">
        <f>AF12-'hoaki dram18'!AB14</f>
        <v>0</v>
      </c>
      <c r="BE12" s="286">
        <f t="shared" si="8"/>
        <v>0</v>
      </c>
      <c r="BF12" s="319">
        <f t="shared" si="10"/>
        <v>-3.900000000000034</v>
      </c>
      <c r="BG12" s="286">
        <f>G12-'hoaki dram18'!C14</f>
        <v>0</v>
      </c>
      <c r="BH12" s="286">
        <f>H12-'hoaki dram18'!D14</f>
        <v>0</v>
      </c>
      <c r="BI12" s="286">
        <f>I12-'hoaki dram18'!E14-F12</f>
        <v>-4.799999999999272</v>
      </c>
      <c r="BJ12" s="319">
        <f t="shared" si="9"/>
        <v>-4.799999999999272</v>
      </c>
    </row>
    <row r="13" spans="1:62" s="282" customFormat="1" ht="25.5" customHeight="1">
      <c r="A13" s="284" t="s">
        <v>193</v>
      </c>
      <c r="B13" s="293">
        <v>224.7</v>
      </c>
      <c r="C13" s="289">
        <v>2</v>
      </c>
      <c r="D13" s="289"/>
      <c r="E13" s="319">
        <f t="shared" si="3"/>
        <v>226.7</v>
      </c>
      <c r="F13" s="324">
        <f t="shared" si="4"/>
        <v>226.7</v>
      </c>
      <c r="G13" s="289"/>
      <c r="H13" s="289"/>
      <c r="I13" s="319">
        <f t="shared" si="0"/>
        <v>28405.399999999994</v>
      </c>
      <c r="J13" s="328">
        <f t="shared" si="5"/>
        <v>28405.399999999994</v>
      </c>
      <c r="K13" s="291">
        <v>21518.1</v>
      </c>
      <c r="L13" s="289">
        <v>625.5</v>
      </c>
      <c r="M13" s="289">
        <v>187.8</v>
      </c>
      <c r="N13" s="289">
        <v>100.5</v>
      </c>
      <c r="O13" s="289"/>
      <c r="P13" s="289"/>
      <c r="Q13" s="289"/>
      <c r="R13" s="289">
        <v>3</v>
      </c>
      <c r="S13" s="289">
        <v>409.8</v>
      </c>
      <c r="T13" s="292"/>
      <c r="U13" s="289"/>
      <c r="V13" s="289">
        <v>212.1</v>
      </c>
      <c r="W13" s="289"/>
      <c r="X13" s="289"/>
      <c r="Y13" s="289">
        <v>18</v>
      </c>
      <c r="Z13" s="289">
        <v>5253.6</v>
      </c>
      <c r="AA13" s="289">
        <v>77</v>
      </c>
      <c r="AB13" s="289"/>
      <c r="AC13" s="331">
        <f t="shared" si="1"/>
        <v>28405.399999999994</v>
      </c>
      <c r="AD13" s="289"/>
      <c r="AE13" s="289"/>
      <c r="AF13" s="289"/>
      <c r="AG13" s="331">
        <f t="shared" si="6"/>
        <v>0</v>
      </c>
      <c r="AH13" s="331">
        <f t="shared" si="7"/>
        <v>28405.399999999994</v>
      </c>
      <c r="AI13" s="286">
        <f>K13-'hoaki dram18'!G15</f>
        <v>0</v>
      </c>
      <c r="AJ13" s="286">
        <f>L13-'hoaki dram18'!H15-B13</f>
        <v>-207.90000000000003</v>
      </c>
      <c r="AK13" s="286">
        <f>M13-'hoaki dram18'!I15-C13</f>
        <v>-1.0999999999999943</v>
      </c>
      <c r="AL13" s="286">
        <f>N13-'hoaki dram18'!J15-D13</f>
        <v>0</v>
      </c>
      <c r="AM13" s="286">
        <f>O13-'hoaki dram18'!K15</f>
        <v>0</v>
      </c>
      <c r="AN13" s="286">
        <f>P13-'hoaki dram18'!L15</f>
        <v>0</v>
      </c>
      <c r="AO13" s="286">
        <f>Q13-'hoaki dram18'!M15-G13</f>
        <v>0</v>
      </c>
      <c r="AP13" s="286">
        <f>R13-'hoaki dram18'!N15-H13</f>
        <v>0</v>
      </c>
      <c r="AQ13" s="286">
        <f>S13-'hoaki dram18'!O15</f>
        <v>0</v>
      </c>
      <c r="AR13" s="286">
        <f>T13-'hoaki dram18'!P15</f>
        <v>0</v>
      </c>
      <c r="AS13" s="286">
        <f>U13-'hoaki dram18'!Q15</f>
        <v>0</v>
      </c>
      <c r="AT13" s="286">
        <f>V13-'hoaki dram18'!R15</f>
        <v>0</v>
      </c>
      <c r="AU13" s="286">
        <f>W13-'hoaki dram18'!S15</f>
        <v>0</v>
      </c>
      <c r="AV13" s="286">
        <f>X13-'hoaki dram18'!T15</f>
        <v>0</v>
      </c>
      <c r="AW13" s="286">
        <f>Y13-'hoaki dram18'!U15</f>
        <v>0</v>
      </c>
      <c r="AX13" s="286">
        <f>Z13-'hoaki dram18'!V15</f>
        <v>0</v>
      </c>
      <c r="AY13" s="286">
        <f>AA13-'hoaki dram18'!W15</f>
        <v>0</v>
      </c>
      <c r="AZ13" s="286">
        <f>AB13-'hoaki dram18'!X15</f>
        <v>0</v>
      </c>
      <c r="BA13" s="319">
        <f>AI13+AJ13+AK13+AL13+AM13+AN13+AO13+AP13+AQ13+AR13+AS13+AV13++AX13+AY13+AZ13+AW13+AT13+AU13</f>
        <v>-209.00000000000003</v>
      </c>
      <c r="BB13" s="286">
        <f>AD13-'hoaki dram18'!Z15</f>
        <v>0</v>
      </c>
      <c r="BC13" s="286">
        <f>AE13-'hoaki dram18'!AA15</f>
        <v>0</v>
      </c>
      <c r="BD13" s="286">
        <f>AF13-'hoaki dram18'!AB15</f>
        <v>0</v>
      </c>
      <c r="BE13" s="286">
        <f t="shared" si="8"/>
        <v>0</v>
      </c>
      <c r="BF13" s="319">
        <f t="shared" si="10"/>
        <v>-209.00000000000003</v>
      </c>
      <c r="BG13" s="286">
        <f>G13-'hoaki dram18'!C15</f>
        <v>0</v>
      </c>
      <c r="BH13" s="286">
        <f>H13-'hoaki dram18'!D15</f>
        <v>0</v>
      </c>
      <c r="BI13" s="286">
        <f>I13-'hoaki dram18'!E15-F13</f>
        <v>-213.8000000000058</v>
      </c>
      <c r="BJ13" s="319">
        <f t="shared" si="9"/>
        <v>-213.8000000000058</v>
      </c>
    </row>
    <row r="14" spans="1:64" s="282" customFormat="1" ht="25.5" customHeight="1">
      <c r="A14" s="284" t="s">
        <v>194</v>
      </c>
      <c r="B14" s="293">
        <v>49.3</v>
      </c>
      <c r="C14" s="289"/>
      <c r="D14" s="289"/>
      <c r="E14" s="319">
        <f t="shared" si="3"/>
        <v>49.3</v>
      </c>
      <c r="F14" s="324">
        <f t="shared" si="4"/>
        <v>49.3</v>
      </c>
      <c r="G14" s="289"/>
      <c r="H14" s="289"/>
      <c r="I14" s="319">
        <f t="shared" si="0"/>
        <v>23831.6</v>
      </c>
      <c r="J14" s="328">
        <f t="shared" si="5"/>
        <v>23831.6</v>
      </c>
      <c r="K14" s="506">
        <v>17266.9</v>
      </c>
      <c r="L14" s="506">
        <v>697.3</v>
      </c>
      <c r="M14" s="506">
        <v>193.3</v>
      </c>
      <c r="N14" s="506">
        <v>80.7</v>
      </c>
      <c r="O14" s="289"/>
      <c r="P14" s="289"/>
      <c r="Q14" s="289"/>
      <c r="R14" s="289">
        <v>3</v>
      </c>
      <c r="S14" s="289">
        <v>255</v>
      </c>
      <c r="T14" s="292"/>
      <c r="U14" s="289"/>
      <c r="V14" s="289">
        <v>192.1</v>
      </c>
      <c r="W14" s="289"/>
      <c r="X14" s="289"/>
      <c r="Y14" s="289">
        <v>18</v>
      </c>
      <c r="Z14" s="289">
        <v>5063</v>
      </c>
      <c r="AA14" s="289">
        <v>62.3</v>
      </c>
      <c r="AB14" s="289"/>
      <c r="AC14" s="331">
        <f t="shared" si="1"/>
        <v>23831.6</v>
      </c>
      <c r="AD14" s="289"/>
      <c r="AE14" s="289"/>
      <c r="AF14" s="289"/>
      <c r="AG14" s="331">
        <f t="shared" si="6"/>
        <v>0</v>
      </c>
      <c r="AH14" s="331">
        <f t="shared" si="7"/>
        <v>23831.6</v>
      </c>
      <c r="AI14" s="286">
        <f>K14-'hoaki dram18'!G16</f>
        <v>0</v>
      </c>
      <c r="AJ14" s="286">
        <f>L14-'hoaki dram18'!H16-B14</f>
        <v>-3.799999999999997</v>
      </c>
      <c r="AK14" s="286">
        <f>M14-'hoaki dram18'!I16-C14</f>
        <v>-0.799999999999983</v>
      </c>
      <c r="AL14" s="286">
        <f>N14-'hoaki dram18'!J16-D14</f>
        <v>0</v>
      </c>
      <c r="AM14" s="286">
        <f>O14-'hoaki dram18'!K16</f>
        <v>0</v>
      </c>
      <c r="AN14" s="286">
        <f>P14-'hoaki dram18'!L16</f>
        <v>0</v>
      </c>
      <c r="AO14" s="286">
        <f>Q14-'hoaki dram18'!M16</f>
        <v>0</v>
      </c>
      <c r="AP14" s="286">
        <f>R14-'hoaki dram18'!N16</f>
        <v>0</v>
      </c>
      <c r="AQ14" s="286">
        <f>S14-'hoaki dram18'!O16</f>
        <v>0</v>
      </c>
      <c r="AR14" s="286">
        <f>T14-'hoaki dram18'!P16</f>
        <v>0</v>
      </c>
      <c r="AS14" s="286">
        <f>U14-'hoaki dram18'!Q16</f>
        <v>0</v>
      </c>
      <c r="AT14" s="286">
        <f>V14-'hoaki dram18'!R16</f>
        <v>0</v>
      </c>
      <c r="AU14" s="286">
        <f>W14-'hoaki dram18'!S16</f>
        <v>0</v>
      </c>
      <c r="AV14" s="286">
        <f>X14-'hoaki dram18'!T16</f>
        <v>0</v>
      </c>
      <c r="AW14" s="286">
        <f>Y14-'hoaki dram18'!U16</f>
        <v>0</v>
      </c>
      <c r="AX14" s="286">
        <f>Z14-'hoaki dram18'!V16</f>
        <v>0</v>
      </c>
      <c r="AY14" s="286">
        <f>AA14-'hoaki dram18'!W16</f>
        <v>0</v>
      </c>
      <c r="AZ14" s="286">
        <f>AB14-'hoaki dram18'!X16</f>
        <v>0</v>
      </c>
      <c r="BA14" s="319">
        <f t="shared" si="2"/>
        <v>-4.59999999999998</v>
      </c>
      <c r="BB14" s="286">
        <f>AD14-'hoaki dram18'!Z16</f>
        <v>0</v>
      </c>
      <c r="BC14" s="286">
        <f>AE14-'hoaki dram18'!AA16</f>
        <v>0</v>
      </c>
      <c r="BD14" s="286">
        <f>AF14-'hoaki dram18'!AB16</f>
        <v>0</v>
      </c>
      <c r="BE14" s="286">
        <f>BB14+BC14+BD14</f>
        <v>0</v>
      </c>
      <c r="BF14" s="319">
        <f>BA14+BE14</f>
        <v>-4.59999999999998</v>
      </c>
      <c r="BG14" s="286">
        <f>G14-'hoaki dram18'!C16</f>
        <v>0</v>
      </c>
      <c r="BH14" s="286">
        <f>H14-'hoaki dram18'!D16</f>
        <v>0</v>
      </c>
      <c r="BI14" s="286">
        <f>I14-'hoaki dram18'!E16-F14</f>
        <v>-12.500000000000725</v>
      </c>
      <c r="BJ14" s="319">
        <f t="shared" si="9"/>
        <v>-12.500000000000725</v>
      </c>
      <c r="BL14" s="282" t="s">
        <v>16</v>
      </c>
    </row>
    <row r="15" spans="1:62" s="282" customFormat="1" ht="25.5" customHeight="1" thickBot="1">
      <c r="A15" s="284" t="s">
        <v>195</v>
      </c>
      <c r="B15" s="294">
        <v>39.5</v>
      </c>
      <c r="C15" s="295"/>
      <c r="D15" s="295"/>
      <c r="E15" s="320">
        <f t="shared" si="3"/>
        <v>39.5</v>
      </c>
      <c r="F15" s="325">
        <f t="shared" si="4"/>
        <v>39.5</v>
      </c>
      <c r="G15" s="295"/>
      <c r="H15" s="295"/>
      <c r="I15" s="320">
        <f t="shared" si="0"/>
        <v>27089.6</v>
      </c>
      <c r="J15" s="329">
        <f t="shared" si="5"/>
        <v>27089.6</v>
      </c>
      <c r="K15" s="297">
        <v>18953.5</v>
      </c>
      <c r="L15" s="295">
        <v>827.1</v>
      </c>
      <c r="M15" s="295">
        <v>222.5</v>
      </c>
      <c r="N15" s="295">
        <v>99.4</v>
      </c>
      <c r="O15" s="295"/>
      <c r="P15" s="295"/>
      <c r="Q15" s="295"/>
      <c r="R15" s="289"/>
      <c r="S15" s="295">
        <v>255</v>
      </c>
      <c r="T15" s="298"/>
      <c r="U15" s="295"/>
      <c r="V15" s="295">
        <v>244.1</v>
      </c>
      <c r="W15" s="295"/>
      <c r="X15" s="295"/>
      <c r="Y15" s="295">
        <v>23</v>
      </c>
      <c r="Z15" s="295">
        <v>6384.5</v>
      </c>
      <c r="AA15" s="295">
        <v>80.5</v>
      </c>
      <c r="AB15" s="295"/>
      <c r="AC15" s="332">
        <f t="shared" si="1"/>
        <v>27089.6</v>
      </c>
      <c r="AD15" s="295"/>
      <c r="AE15" s="295"/>
      <c r="AF15" s="295"/>
      <c r="AG15" s="332">
        <f t="shared" si="6"/>
        <v>0</v>
      </c>
      <c r="AH15" s="332">
        <f t="shared" si="7"/>
        <v>27089.6</v>
      </c>
      <c r="AI15" s="296">
        <f>K15-'hoaki dram18'!G17</f>
        <v>0</v>
      </c>
      <c r="AJ15" s="296">
        <f>L15-'hoaki dram18'!H17-B15</f>
        <v>-1.6999999999999318</v>
      </c>
      <c r="AK15" s="296">
        <f>M15-'hoaki dram18'!I17-C15</f>
        <v>0</v>
      </c>
      <c r="AL15" s="296">
        <f>N15-'hoaki dram18'!J17-D15</f>
        <v>0</v>
      </c>
      <c r="AM15" s="286">
        <f>O15-'hoaki dram18'!K17</f>
        <v>0</v>
      </c>
      <c r="AN15" s="286">
        <f>P15-'hoaki dram18'!L17</f>
        <v>0</v>
      </c>
      <c r="AO15" s="296">
        <f>Q15-'hoaki dram18'!M17</f>
        <v>0</v>
      </c>
      <c r="AP15" s="296">
        <f>R15-'hoaki dram18'!N17</f>
        <v>0</v>
      </c>
      <c r="AQ15" s="296">
        <f>S15-'hoaki dram18'!O17</f>
        <v>0</v>
      </c>
      <c r="AR15" s="296">
        <f>T15-'hoaki dram18'!P17</f>
        <v>0</v>
      </c>
      <c r="AS15" s="296">
        <f>U15-'hoaki dram18'!Q17</f>
        <v>0</v>
      </c>
      <c r="AT15" s="296">
        <f>V15-'hoaki dram18'!R17</f>
        <v>0</v>
      </c>
      <c r="AU15" s="296">
        <f>W15-'hoaki dram18'!S17</f>
        <v>0</v>
      </c>
      <c r="AV15" s="296">
        <f>X15-'hoaki dram18'!T17</f>
        <v>0</v>
      </c>
      <c r="AW15" s="296">
        <f>Y15-'hoaki dram18'!U17</f>
        <v>0</v>
      </c>
      <c r="AX15" s="296">
        <f>Z15-'hoaki dram18'!V17</f>
        <v>0</v>
      </c>
      <c r="AY15" s="296">
        <f>AA15-'hoaki dram18'!W17</f>
        <v>0</v>
      </c>
      <c r="AZ15" s="296">
        <f>AB15-'hoaki dram18'!X17</f>
        <v>0</v>
      </c>
      <c r="BA15" s="320">
        <f t="shared" si="2"/>
        <v>-1.6999999999999318</v>
      </c>
      <c r="BB15" s="296">
        <f>AD15-'hoaki dram18'!Z17</f>
        <v>0</v>
      </c>
      <c r="BC15" s="296">
        <f>AE15-'hoaki dram18'!AA17</f>
        <v>0</v>
      </c>
      <c r="BD15" s="296">
        <f>AF15-'hoaki dram18'!AB17</f>
        <v>0</v>
      </c>
      <c r="BE15" s="296">
        <f t="shared" si="8"/>
        <v>0</v>
      </c>
      <c r="BF15" s="320">
        <f t="shared" si="10"/>
        <v>-1.6999999999999318</v>
      </c>
      <c r="BG15" s="296">
        <f>G15-'hoaki dram18'!C17</f>
        <v>0</v>
      </c>
      <c r="BH15" s="296">
        <f>H15-'hoaki dram18'!D17</f>
        <v>0</v>
      </c>
      <c r="BI15" s="296">
        <f>I15-'hoaki dram18'!E17-F15</f>
        <v>-5.600000000002183</v>
      </c>
      <c r="BJ15" s="319">
        <f t="shared" si="9"/>
        <v>-5.600000000002183</v>
      </c>
    </row>
    <row r="16" spans="1:63" s="302" customFormat="1" ht="25.5" customHeight="1" thickBot="1">
      <c r="A16" s="299" t="s">
        <v>202</v>
      </c>
      <c r="B16" s="300">
        <f aca="true" t="shared" si="11" ref="B16:N16">SUM(B4:B15)</f>
        <v>667.6999999999998</v>
      </c>
      <c r="C16" s="300">
        <f t="shared" si="11"/>
        <v>11.799999999999999</v>
      </c>
      <c r="D16" s="300">
        <f t="shared" si="11"/>
        <v>0.2</v>
      </c>
      <c r="E16" s="300">
        <f t="shared" si="11"/>
        <v>679.6999999999998</v>
      </c>
      <c r="F16" s="300">
        <f t="shared" si="11"/>
        <v>679.6999999999998</v>
      </c>
      <c r="G16" s="300">
        <f t="shared" si="11"/>
        <v>0</v>
      </c>
      <c r="H16" s="300">
        <f t="shared" si="11"/>
        <v>0</v>
      </c>
      <c r="I16" s="300">
        <f t="shared" si="11"/>
        <v>288010.39999999997</v>
      </c>
      <c r="J16" s="300">
        <f t="shared" si="11"/>
        <v>288010.39999999997</v>
      </c>
      <c r="K16" s="300">
        <f t="shared" si="11"/>
        <v>205520.4</v>
      </c>
      <c r="L16" s="300">
        <f t="shared" si="11"/>
        <v>7675.1</v>
      </c>
      <c r="M16" s="300">
        <f t="shared" si="11"/>
        <v>2392.5</v>
      </c>
      <c r="N16" s="300">
        <f t="shared" si="11"/>
        <v>1180.7</v>
      </c>
      <c r="O16" s="300">
        <f aca="true" t="shared" si="12" ref="O16:BJ16">SUM(O4:O15)</f>
        <v>0</v>
      </c>
      <c r="P16" s="300">
        <f t="shared" si="12"/>
        <v>0</v>
      </c>
      <c r="Q16" s="300">
        <f t="shared" si="12"/>
        <v>0</v>
      </c>
      <c r="R16" s="300">
        <f t="shared" si="12"/>
        <v>30</v>
      </c>
      <c r="S16" s="300">
        <f t="shared" si="12"/>
        <v>3311.1000000000004</v>
      </c>
      <c r="T16" s="301">
        <f t="shared" si="12"/>
        <v>0</v>
      </c>
      <c r="U16" s="300">
        <f t="shared" si="12"/>
        <v>0</v>
      </c>
      <c r="V16" s="300">
        <f t="shared" si="12"/>
        <v>2373.0999999999995</v>
      </c>
      <c r="W16" s="300">
        <f t="shared" si="12"/>
        <v>0</v>
      </c>
      <c r="X16" s="300">
        <f t="shared" si="12"/>
        <v>0</v>
      </c>
      <c r="Y16" s="300">
        <f t="shared" si="12"/>
        <v>221</v>
      </c>
      <c r="Z16" s="300">
        <f t="shared" si="12"/>
        <v>63224.399999999994</v>
      </c>
      <c r="AA16" s="300">
        <f t="shared" si="12"/>
        <v>846.0999999999999</v>
      </c>
      <c r="AB16" s="300">
        <f t="shared" si="12"/>
        <v>0</v>
      </c>
      <c r="AC16" s="300">
        <f t="shared" si="12"/>
        <v>286774.39999999997</v>
      </c>
      <c r="AD16" s="300">
        <f t="shared" si="12"/>
        <v>0</v>
      </c>
      <c r="AE16" s="300">
        <f t="shared" si="12"/>
        <v>1236</v>
      </c>
      <c r="AF16" s="300">
        <f t="shared" si="12"/>
        <v>0</v>
      </c>
      <c r="AG16" s="300">
        <f t="shared" si="12"/>
        <v>1236</v>
      </c>
      <c r="AH16" s="300">
        <f t="shared" si="12"/>
        <v>288010.39999999997</v>
      </c>
      <c r="AI16" s="300">
        <f t="shared" si="12"/>
        <v>0</v>
      </c>
      <c r="AJ16" s="300">
        <f t="shared" si="12"/>
        <v>-738.8000000000001</v>
      </c>
      <c r="AK16" s="300">
        <f t="shared" si="12"/>
        <v>-26.799999999999926</v>
      </c>
      <c r="AL16" s="300">
        <f t="shared" si="12"/>
        <v>2.831068712794149E-15</v>
      </c>
      <c r="AM16" s="300">
        <f t="shared" si="12"/>
        <v>0</v>
      </c>
      <c r="AN16" s="300">
        <f t="shared" si="12"/>
        <v>0</v>
      </c>
      <c r="AO16" s="300">
        <f t="shared" si="12"/>
        <v>0</v>
      </c>
      <c r="AP16" s="300">
        <f t="shared" si="12"/>
        <v>0</v>
      </c>
      <c r="AQ16" s="300">
        <f t="shared" si="12"/>
        <v>0</v>
      </c>
      <c r="AR16" s="300">
        <f t="shared" si="12"/>
        <v>0</v>
      </c>
      <c r="AS16" s="300">
        <f t="shared" si="12"/>
        <v>0</v>
      </c>
      <c r="AT16" s="300">
        <f t="shared" si="12"/>
        <v>0</v>
      </c>
      <c r="AU16" s="300">
        <f t="shared" si="12"/>
        <v>0</v>
      </c>
      <c r="AV16" s="300">
        <f t="shared" si="12"/>
        <v>0</v>
      </c>
      <c r="AW16" s="300">
        <f t="shared" si="12"/>
        <v>0</v>
      </c>
      <c r="AX16" s="300">
        <f t="shared" si="12"/>
        <v>0</v>
      </c>
      <c r="AY16" s="300">
        <f t="shared" si="12"/>
        <v>0</v>
      </c>
      <c r="AZ16" s="300">
        <f t="shared" si="12"/>
        <v>0</v>
      </c>
      <c r="BA16" s="301">
        <f t="shared" si="12"/>
        <v>-765.6000000000001</v>
      </c>
      <c r="BB16" s="300">
        <f t="shared" si="12"/>
        <v>0</v>
      </c>
      <c r="BC16" s="300">
        <f t="shared" si="12"/>
        <v>0</v>
      </c>
      <c r="BD16" s="300">
        <f t="shared" si="12"/>
        <v>0</v>
      </c>
      <c r="BE16" s="300">
        <f t="shared" si="12"/>
        <v>0</v>
      </c>
      <c r="BF16" s="300">
        <f t="shared" si="12"/>
        <v>-765.6000000000001</v>
      </c>
      <c r="BG16" s="300">
        <f t="shared" si="12"/>
        <v>0</v>
      </c>
      <c r="BH16" s="300">
        <f t="shared" si="12"/>
        <v>0</v>
      </c>
      <c r="BI16" s="300">
        <f t="shared" si="12"/>
        <v>-804.4000000000187</v>
      </c>
      <c r="BJ16" s="299">
        <f t="shared" si="12"/>
        <v>-804.4000000000187</v>
      </c>
      <c r="BK16" s="282"/>
    </row>
    <row r="17" spans="1:62" s="282" customFormat="1" ht="19.5" customHeight="1">
      <c r="A17" s="284" t="s">
        <v>196</v>
      </c>
      <c r="B17" s="285">
        <v>211.5</v>
      </c>
      <c r="C17" s="286">
        <v>2.9</v>
      </c>
      <c r="D17" s="286"/>
      <c r="E17" s="319">
        <f t="shared" si="3"/>
        <v>214.4</v>
      </c>
      <c r="F17" s="324">
        <f t="shared" si="4"/>
        <v>214.4</v>
      </c>
      <c r="G17" s="286"/>
      <c r="H17" s="286">
        <v>2800.5</v>
      </c>
      <c r="I17" s="319">
        <f>AH17-G17-H17</f>
        <v>40367.799999999996</v>
      </c>
      <c r="J17" s="328">
        <f t="shared" si="5"/>
        <v>43168.299999999996</v>
      </c>
      <c r="K17" s="288">
        <v>41429.1</v>
      </c>
      <c r="L17" s="286">
        <v>946.6</v>
      </c>
      <c r="M17" s="286">
        <v>168.6</v>
      </c>
      <c r="N17" s="286">
        <v>156.5</v>
      </c>
      <c r="O17" s="286"/>
      <c r="P17" s="286"/>
      <c r="Q17" s="286">
        <v>11.2</v>
      </c>
      <c r="R17" s="295">
        <v>3</v>
      </c>
      <c r="S17" s="286">
        <v>43.3</v>
      </c>
      <c r="T17" s="290"/>
      <c r="U17" s="286"/>
      <c r="V17" s="286">
        <v>100</v>
      </c>
      <c r="W17" s="286"/>
      <c r="X17" s="286"/>
      <c r="Y17" s="286"/>
      <c r="Z17" s="286">
        <v>135</v>
      </c>
      <c r="AA17" s="286"/>
      <c r="AB17" s="286"/>
      <c r="AC17" s="319">
        <f>SUM(K17:AB17)</f>
        <v>42993.299999999996</v>
      </c>
      <c r="AD17" s="286"/>
      <c r="AE17" s="286"/>
      <c r="AF17" s="286">
        <v>175</v>
      </c>
      <c r="AG17" s="319">
        <f aca="true" t="shared" si="13" ref="AG17:AG25">SUM(AD17:AF17)</f>
        <v>175</v>
      </c>
      <c r="AH17" s="319">
        <f>SUM(AC17+AG17)</f>
        <v>43168.299999999996</v>
      </c>
      <c r="AI17" s="286">
        <f>K17-'hoaki dram18'!G19</f>
        <v>0</v>
      </c>
      <c r="AJ17" s="286">
        <f>L17-'hoaki dram18'!H19-B17</f>
        <v>-278.6</v>
      </c>
      <c r="AK17" s="286">
        <f>M17-'hoaki dram18'!I19-C17</f>
        <v>-1.4</v>
      </c>
      <c r="AL17" s="286">
        <f>N17-'hoaki dram18'!J19-D17</f>
        <v>0</v>
      </c>
      <c r="AM17" s="286">
        <f>O17-'hoaki dram18'!K19</f>
        <v>0</v>
      </c>
      <c r="AN17" s="286">
        <f>P17-'hoaki dram18'!L19</f>
        <v>0</v>
      </c>
      <c r="AO17" s="286">
        <f>Q17-'hoaki dram18'!M19</f>
        <v>0</v>
      </c>
      <c r="AP17" s="286">
        <f>R17-'hoaki dram18'!N19</f>
        <v>0</v>
      </c>
      <c r="AQ17" s="286">
        <f>S17-'hoaki dram18'!O19</f>
        <v>0</v>
      </c>
      <c r="AR17" s="286">
        <f>T17-'hoaki dram18'!P19</f>
        <v>0</v>
      </c>
      <c r="AS17" s="286">
        <f>U17-'hoaki dram18'!Q19</f>
        <v>0</v>
      </c>
      <c r="AT17" s="286">
        <f>V17-'hoaki dram18'!R19</f>
        <v>0</v>
      </c>
      <c r="AU17" s="286">
        <f>W17-'hoaki dram18'!S19</f>
        <v>0</v>
      </c>
      <c r="AV17" s="286">
        <f>X17-'hoaki dram18'!T19</f>
        <v>0</v>
      </c>
      <c r="AW17" s="286">
        <f>Y17-'hoaki dram18'!U19</f>
        <v>0</v>
      </c>
      <c r="AX17" s="286">
        <f>Z17-'hoaki dram18'!V19</f>
        <v>0</v>
      </c>
      <c r="AY17" s="286">
        <f>AA17-'hoaki dram18'!W19</f>
        <v>0</v>
      </c>
      <c r="AZ17" s="286">
        <f>AB17-'hoaki dram18'!X19</f>
        <v>0</v>
      </c>
      <c r="BA17" s="319">
        <f>AI17+AJ17+AK17+AL17+AM17+AN17+AO17+AP17+AQ17+AR17+AS17+AV17++AX17+AY17+AZ17+AW17+AT17+AU17</f>
        <v>-280</v>
      </c>
      <c r="BB17" s="286">
        <f>AD17-'hoaki dram18'!Z19</f>
        <v>0</v>
      </c>
      <c r="BC17" s="286">
        <f>AE17-'hoaki dram18'!AA19</f>
        <v>0</v>
      </c>
      <c r="BD17" s="286">
        <f>AF17-'hoaki dram18'!AB19</f>
        <v>0</v>
      </c>
      <c r="BE17" s="286">
        <f>BB17+BC17+BD17</f>
        <v>0</v>
      </c>
      <c r="BF17" s="319">
        <f t="shared" si="10"/>
        <v>-280</v>
      </c>
      <c r="BG17" s="286">
        <f>G17-'hoaki dram18'!C19</f>
        <v>0</v>
      </c>
      <c r="BH17" s="286">
        <f>H17-'hoaki dram18'!D19</f>
        <v>0</v>
      </c>
      <c r="BI17" s="286">
        <f>I17-'hoaki dram18'!E19-F17</f>
        <v>-280.0000000000058</v>
      </c>
      <c r="BJ17" s="319">
        <f t="shared" si="9"/>
        <v>-280.0000000000058</v>
      </c>
    </row>
    <row r="18" spans="1:62" s="282" customFormat="1" ht="19.5" customHeight="1">
      <c r="A18" s="303" t="s">
        <v>197</v>
      </c>
      <c r="B18" s="293">
        <v>0.5</v>
      </c>
      <c r="C18" s="289">
        <v>0.5</v>
      </c>
      <c r="D18" s="289"/>
      <c r="E18" s="319">
        <f t="shared" si="3"/>
        <v>1</v>
      </c>
      <c r="F18" s="324">
        <f t="shared" si="4"/>
        <v>1</v>
      </c>
      <c r="G18" s="289"/>
      <c r="H18" s="289">
        <v>1166.9</v>
      </c>
      <c r="I18" s="319">
        <f>AH18-G18-H18</f>
        <v>19496.9</v>
      </c>
      <c r="J18" s="328">
        <f t="shared" si="5"/>
        <v>20663.800000000003</v>
      </c>
      <c r="K18" s="291">
        <v>20155.4</v>
      </c>
      <c r="L18" s="289">
        <v>263.5</v>
      </c>
      <c r="M18" s="289">
        <v>56.4</v>
      </c>
      <c r="N18" s="289">
        <v>99.3</v>
      </c>
      <c r="O18" s="289"/>
      <c r="P18" s="289"/>
      <c r="Q18" s="289">
        <v>11.2</v>
      </c>
      <c r="R18" s="295">
        <v>3</v>
      </c>
      <c r="S18" s="289"/>
      <c r="T18" s="292"/>
      <c r="U18" s="289"/>
      <c r="V18" s="289">
        <v>48</v>
      </c>
      <c r="W18" s="289"/>
      <c r="X18" s="289"/>
      <c r="Y18" s="289"/>
      <c r="Z18" s="289">
        <v>27</v>
      </c>
      <c r="AA18" s="289"/>
      <c r="AB18" s="289"/>
      <c r="AC18" s="331">
        <f>SUM(K18:AB18)</f>
        <v>20663.800000000003</v>
      </c>
      <c r="AD18" s="289"/>
      <c r="AE18" s="289"/>
      <c r="AF18" s="289"/>
      <c r="AG18" s="331">
        <f t="shared" si="13"/>
        <v>0</v>
      </c>
      <c r="AH18" s="331">
        <f>SUM(AC18,AG18)</f>
        <v>20663.800000000003</v>
      </c>
      <c r="AI18" s="286">
        <f>K18-'hoaki dram18'!G20</f>
        <v>0</v>
      </c>
      <c r="AJ18" s="286">
        <f>L18-'hoaki dram18'!H20-B18</f>
        <v>0</v>
      </c>
      <c r="AK18" s="286">
        <f>M18-'hoaki dram18'!I20-C18</f>
        <v>-2.3000000000000043</v>
      </c>
      <c r="AL18" s="286">
        <f>N18-'hoaki dram18'!J20-D18</f>
        <v>0</v>
      </c>
      <c r="AM18" s="286">
        <f>O18-'hoaki dram18'!K20</f>
        <v>0</v>
      </c>
      <c r="AN18" s="286">
        <f>P18-'hoaki dram18'!L20</f>
        <v>0</v>
      </c>
      <c r="AO18" s="286">
        <f>Q18-'hoaki dram18'!M20</f>
        <v>0</v>
      </c>
      <c r="AP18" s="286">
        <f>R18-'hoaki dram18'!N20</f>
        <v>0</v>
      </c>
      <c r="AQ18" s="286">
        <f>S18-'hoaki dram18'!O20</f>
        <v>0</v>
      </c>
      <c r="AR18" s="286">
        <f>T18-'hoaki dram18'!P20</f>
        <v>0</v>
      </c>
      <c r="AS18" s="286">
        <f>U18-'hoaki dram18'!Q20</f>
        <v>0</v>
      </c>
      <c r="AT18" s="286">
        <f>V18-'hoaki dram18'!R20</f>
        <v>0</v>
      </c>
      <c r="AU18" s="286">
        <f>W18-'hoaki dram18'!S20</f>
        <v>0</v>
      </c>
      <c r="AV18" s="286">
        <f>X18-'hoaki dram18'!T20</f>
        <v>0</v>
      </c>
      <c r="AW18" s="286">
        <f>Y18-'hoaki dram18'!U20</f>
        <v>0</v>
      </c>
      <c r="AX18" s="286">
        <f>Z18-'hoaki dram18'!V20</f>
        <v>0</v>
      </c>
      <c r="AY18" s="286">
        <f>AA18-'hoaki dram18'!W20</f>
        <v>0</v>
      </c>
      <c r="AZ18" s="286">
        <f>AB18-'hoaki dram18'!X20</f>
        <v>0</v>
      </c>
      <c r="BA18" s="319">
        <f>AI18+AJ18+AK18+AL18+AM18+AN18+AO18+AP18+AQ18+AR18+AS18+AV18++AX18+AY18+AZ18+AW18+AT18+AU18</f>
        <v>-2.3000000000000043</v>
      </c>
      <c r="BB18" s="286">
        <f>AD18-'hoaki dram18'!Z20</f>
        <v>0</v>
      </c>
      <c r="BC18" s="286">
        <f>AE18-'hoaki dram18'!AA20</f>
        <v>0</v>
      </c>
      <c r="BD18" s="286">
        <f>AF18-'hoaki dram18'!AB20</f>
        <v>0</v>
      </c>
      <c r="BE18" s="286">
        <f aca="true" t="shared" si="14" ref="BE18:BE27">BB18+BC18+BD18</f>
        <v>0</v>
      </c>
      <c r="BF18" s="319">
        <f t="shared" si="10"/>
        <v>-2.3000000000000043</v>
      </c>
      <c r="BG18" s="286">
        <f>G18-'hoaki dram18'!C20</f>
        <v>0</v>
      </c>
      <c r="BH18" s="286">
        <f>H18-'hoaki dram18'!D20</f>
        <v>0</v>
      </c>
      <c r="BI18" s="286">
        <f>I18-'hoaki dram18'!E20-F18</f>
        <v>-2.2999999999992724</v>
      </c>
      <c r="BJ18" s="319">
        <f t="shared" si="9"/>
        <v>-2.2999999999992724</v>
      </c>
    </row>
    <row r="19" spans="1:62" s="282" customFormat="1" ht="19.5" customHeight="1">
      <c r="A19" s="304" t="s">
        <v>198</v>
      </c>
      <c r="B19" s="293">
        <v>170.7</v>
      </c>
      <c r="C19" s="289">
        <v>7.6</v>
      </c>
      <c r="D19" s="289">
        <v>0.2</v>
      </c>
      <c r="E19" s="319">
        <f t="shared" si="3"/>
        <v>178.49999999999997</v>
      </c>
      <c r="F19" s="324">
        <f t="shared" si="4"/>
        <v>178.49999999999997</v>
      </c>
      <c r="G19" s="289"/>
      <c r="H19" s="289"/>
      <c r="I19" s="319">
        <f>AH19-G19-H19</f>
        <v>25615.8</v>
      </c>
      <c r="J19" s="328">
        <f t="shared" si="5"/>
        <v>25615.8</v>
      </c>
      <c r="K19" s="291">
        <v>20704.8</v>
      </c>
      <c r="L19" s="289">
        <v>2220.5</v>
      </c>
      <c r="M19" s="289">
        <v>120.8</v>
      </c>
      <c r="N19" s="289">
        <v>99.3</v>
      </c>
      <c r="O19" s="289"/>
      <c r="P19" s="289">
        <v>2146.7</v>
      </c>
      <c r="Q19" s="289"/>
      <c r="R19" s="295">
        <v>6</v>
      </c>
      <c r="S19" s="289">
        <v>97.7</v>
      </c>
      <c r="T19" s="292"/>
      <c r="U19" s="289"/>
      <c r="V19" s="289">
        <v>60</v>
      </c>
      <c r="W19" s="289"/>
      <c r="X19" s="289"/>
      <c r="Y19" s="289">
        <v>20</v>
      </c>
      <c r="Z19" s="289">
        <v>140</v>
      </c>
      <c r="AA19" s="289"/>
      <c r="AB19" s="289"/>
      <c r="AC19" s="331">
        <f>SUM(K19:AB19)</f>
        <v>25615.8</v>
      </c>
      <c r="AD19" s="289"/>
      <c r="AE19" s="289"/>
      <c r="AF19" s="289"/>
      <c r="AG19" s="331">
        <f t="shared" si="13"/>
        <v>0</v>
      </c>
      <c r="AH19" s="331">
        <f>SUM(AC19,AG19)</f>
        <v>25615.8</v>
      </c>
      <c r="AI19" s="286">
        <f>K19-'hoaki dram18'!G21</f>
        <v>0</v>
      </c>
      <c r="AJ19" s="286">
        <f>L19-'hoaki dram18'!H21-B19</f>
        <v>-193.2</v>
      </c>
      <c r="AK19" s="286">
        <f>M19-'hoaki dram18'!I21-C19</f>
        <v>0</v>
      </c>
      <c r="AL19" s="286">
        <f>N19-'hoaki dram18'!J21-D19</f>
        <v>2.831068712794149E-15</v>
      </c>
      <c r="AM19" s="286">
        <f>O19-'hoaki dram18'!K21</f>
        <v>0</v>
      </c>
      <c r="AN19" s="286">
        <f>P19-'hoaki dram18'!L21</f>
        <v>0</v>
      </c>
      <c r="AO19" s="286">
        <f>Q19-'hoaki dram18'!M21</f>
        <v>0</v>
      </c>
      <c r="AP19" s="286">
        <f>R19-'hoaki dram18'!N21</f>
        <v>0</v>
      </c>
      <c r="AQ19" s="286">
        <f>S19-'hoaki dram18'!O21</f>
        <v>0</v>
      </c>
      <c r="AR19" s="286">
        <f>T19-'hoaki dram18'!P21</f>
        <v>0</v>
      </c>
      <c r="AS19" s="286">
        <f>U19-'hoaki dram18'!Q21</f>
        <v>0</v>
      </c>
      <c r="AT19" s="286">
        <f>V19-'hoaki dram18'!R21</f>
        <v>0</v>
      </c>
      <c r="AU19" s="286">
        <f>W19-'hoaki dram18'!S21</f>
        <v>0</v>
      </c>
      <c r="AV19" s="286">
        <f>X19-'hoaki dram18'!T21</f>
        <v>0</v>
      </c>
      <c r="AW19" s="286">
        <f>Y19-'hoaki dram18'!U21</f>
        <v>0</v>
      </c>
      <c r="AX19" s="286">
        <f>Z19-'hoaki dram18'!V21</f>
        <v>0</v>
      </c>
      <c r="AY19" s="286">
        <f>AA19-'hoaki dram18'!W21</f>
        <v>0</v>
      </c>
      <c r="AZ19" s="286">
        <f>AB19-'hoaki dram18'!X21</f>
        <v>0</v>
      </c>
      <c r="BA19" s="319">
        <f>AI19+AJ19+AK19+AL19+AM19+AN19+AO19+AP19+AQ19+AR19+AS19+AV19++AX19+AY19+AZ19+AW19+AT19+AU19</f>
        <v>-193.2</v>
      </c>
      <c r="BB19" s="286">
        <f>AD19-'hoaki dram18'!Z21</f>
        <v>0</v>
      </c>
      <c r="BC19" s="286">
        <f>AE19-'hoaki dram18'!AA21</f>
        <v>0</v>
      </c>
      <c r="BD19" s="286">
        <f>AF19-'hoaki dram18'!AB21</f>
        <v>0</v>
      </c>
      <c r="BE19" s="286">
        <f t="shared" si="14"/>
        <v>0</v>
      </c>
      <c r="BF19" s="319">
        <f t="shared" si="10"/>
        <v>-193.2</v>
      </c>
      <c r="BG19" s="286">
        <f>G19-'hoaki dram18'!C21</f>
        <v>0</v>
      </c>
      <c r="BH19" s="286">
        <f>H19-'hoaki dram18'!D21</f>
        <v>0</v>
      </c>
      <c r="BI19" s="286">
        <f>I19-'hoaki dram18'!E21-F19</f>
        <v>-193.2000000000007</v>
      </c>
      <c r="BJ19" s="319">
        <f t="shared" si="9"/>
        <v>-193.2000000000007</v>
      </c>
    </row>
    <row r="20" spans="1:62" s="282" customFormat="1" ht="19.5" customHeight="1">
      <c r="A20" s="304" t="s">
        <v>199</v>
      </c>
      <c r="B20" s="293">
        <v>146.6</v>
      </c>
      <c r="C20" s="289"/>
      <c r="D20" s="289"/>
      <c r="E20" s="319">
        <f t="shared" si="3"/>
        <v>146.6</v>
      </c>
      <c r="F20" s="324">
        <f t="shared" si="4"/>
        <v>146.6</v>
      </c>
      <c r="G20" s="289"/>
      <c r="H20" s="289"/>
      <c r="I20" s="319">
        <f>AH20-G20-H20</f>
        <v>14949.399999999998</v>
      </c>
      <c r="J20" s="328">
        <f t="shared" si="5"/>
        <v>14949.399999999998</v>
      </c>
      <c r="K20" s="291">
        <v>12642.3</v>
      </c>
      <c r="L20" s="289">
        <v>669.9</v>
      </c>
      <c r="M20" s="289">
        <v>65.1</v>
      </c>
      <c r="N20" s="289">
        <v>99.3</v>
      </c>
      <c r="O20" s="289"/>
      <c r="P20" s="289">
        <v>1326.5</v>
      </c>
      <c r="Q20" s="289"/>
      <c r="R20" s="295">
        <v>3</v>
      </c>
      <c r="S20" s="289">
        <v>28.3</v>
      </c>
      <c r="T20" s="292"/>
      <c r="U20" s="289"/>
      <c r="V20" s="289">
        <v>60</v>
      </c>
      <c r="W20" s="289"/>
      <c r="X20" s="289"/>
      <c r="Y20" s="289">
        <v>15</v>
      </c>
      <c r="Z20" s="289">
        <v>40</v>
      </c>
      <c r="AA20" s="289"/>
      <c r="AB20" s="289"/>
      <c r="AC20" s="331">
        <f>SUM(K20:AB20)</f>
        <v>14949.399999999998</v>
      </c>
      <c r="AD20" s="289"/>
      <c r="AE20" s="289"/>
      <c r="AF20" s="289"/>
      <c r="AG20" s="331">
        <f t="shared" si="13"/>
        <v>0</v>
      </c>
      <c r="AH20" s="331">
        <f>SUM(AC20,AG20)</f>
        <v>14949.399999999998</v>
      </c>
      <c r="AI20" s="286">
        <f>K20-'hoaki dram18'!G22</f>
        <v>0</v>
      </c>
      <c r="AJ20" s="286">
        <f>L20-'hoaki dram18'!H22-B20</f>
        <v>-125.90000000000006</v>
      </c>
      <c r="AK20" s="286">
        <f>M20-'hoaki dram18'!I22-C20</f>
        <v>0</v>
      </c>
      <c r="AL20" s="286">
        <f>N20-'hoaki dram18'!J22-D20</f>
        <v>0</v>
      </c>
      <c r="AM20" s="286">
        <f>O20-'hoaki dram18'!K22</f>
        <v>0</v>
      </c>
      <c r="AN20" s="286">
        <f>P20-'hoaki dram18'!L22</f>
        <v>0</v>
      </c>
      <c r="AO20" s="286">
        <f>Q20-'hoaki dram18'!M22</f>
        <v>0</v>
      </c>
      <c r="AP20" s="286">
        <f>R20-'hoaki dram18'!N22</f>
        <v>0</v>
      </c>
      <c r="AQ20" s="286">
        <f>S20-'hoaki dram18'!O22</f>
        <v>0</v>
      </c>
      <c r="AR20" s="286">
        <f>T20-'hoaki dram18'!P22</f>
        <v>0</v>
      </c>
      <c r="AS20" s="286">
        <f>U20-'hoaki dram18'!Q22</f>
        <v>0</v>
      </c>
      <c r="AT20" s="286">
        <f>V20-'hoaki dram18'!R22</f>
        <v>0</v>
      </c>
      <c r="AU20" s="286">
        <f>W20-'hoaki dram18'!S22</f>
        <v>0</v>
      </c>
      <c r="AV20" s="286">
        <f>X20-'hoaki dram18'!T22</f>
        <v>0</v>
      </c>
      <c r="AW20" s="286">
        <f>Y20-'hoaki dram18'!U22</f>
        <v>0</v>
      </c>
      <c r="AX20" s="286">
        <f>Z20-'hoaki dram18'!V22</f>
        <v>0</v>
      </c>
      <c r="AY20" s="286">
        <f>AA20-'hoaki dram18'!W22</f>
        <v>0</v>
      </c>
      <c r="AZ20" s="286">
        <f>AB20-'hoaki dram18'!X22</f>
        <v>0</v>
      </c>
      <c r="BA20" s="319">
        <f>AI20+AJ20+AK20+AL20+AM20+AN20+AO20+AP20+AQ20+AR20+AS20+AV20++AX20+AY20+AZ20+AW20+AT20+AU20</f>
        <v>-125.90000000000006</v>
      </c>
      <c r="BB20" s="286">
        <f>AD20-'hoaki dram18'!Z22</f>
        <v>0</v>
      </c>
      <c r="BC20" s="286">
        <f>AE20-'hoaki dram18'!AA22</f>
        <v>0</v>
      </c>
      <c r="BD20" s="286">
        <f>AF20-'hoaki dram18'!AB22</f>
        <v>0</v>
      </c>
      <c r="BE20" s="286">
        <f t="shared" si="14"/>
        <v>0</v>
      </c>
      <c r="BF20" s="319">
        <f t="shared" si="10"/>
        <v>-125.90000000000006</v>
      </c>
      <c r="BG20" s="286">
        <f>G20-'hoaki dram18'!C22</f>
        <v>0</v>
      </c>
      <c r="BH20" s="286">
        <f>H20-'hoaki dram18'!D22</f>
        <v>0</v>
      </c>
      <c r="BI20" s="286">
        <f>I20-'hoaki dram18'!E22-F20</f>
        <v>-125.9000000000029</v>
      </c>
      <c r="BJ20" s="319">
        <f t="shared" si="9"/>
        <v>-125.9000000000029</v>
      </c>
    </row>
    <row r="21" spans="1:62" s="282" customFormat="1" ht="21.75" customHeight="1" thickBot="1">
      <c r="A21" s="304" t="s">
        <v>200</v>
      </c>
      <c r="B21" s="293">
        <v>82.5</v>
      </c>
      <c r="C21" s="289">
        <v>0.1</v>
      </c>
      <c r="D21" s="289"/>
      <c r="E21" s="319">
        <f t="shared" si="3"/>
        <v>82.6</v>
      </c>
      <c r="F21" s="324">
        <f t="shared" si="4"/>
        <v>82.6</v>
      </c>
      <c r="G21" s="289"/>
      <c r="H21" s="289"/>
      <c r="I21" s="319">
        <f>AH21-G21-H21</f>
        <v>9798.000000000002</v>
      </c>
      <c r="J21" s="328">
        <f t="shared" si="5"/>
        <v>9798.000000000002</v>
      </c>
      <c r="K21" s="291">
        <v>8122.1</v>
      </c>
      <c r="L21" s="289">
        <v>557.7</v>
      </c>
      <c r="M21" s="289">
        <v>37.2</v>
      </c>
      <c r="N21" s="289">
        <v>99.3</v>
      </c>
      <c r="O21" s="289"/>
      <c r="P21" s="289">
        <v>545.6</v>
      </c>
      <c r="Q21" s="289"/>
      <c r="R21" s="295">
        <v>3</v>
      </c>
      <c r="S21" s="289">
        <v>13.1</v>
      </c>
      <c r="T21" s="292"/>
      <c r="U21" s="289"/>
      <c r="V21" s="289">
        <v>40</v>
      </c>
      <c r="W21" s="289"/>
      <c r="X21" s="289"/>
      <c r="Y21" s="289"/>
      <c r="Z21" s="289">
        <v>20</v>
      </c>
      <c r="AA21" s="289"/>
      <c r="AB21" s="289"/>
      <c r="AC21" s="331">
        <f>SUM(K21:AB21)</f>
        <v>9438.000000000002</v>
      </c>
      <c r="AD21" s="289"/>
      <c r="AE21" s="289">
        <v>360</v>
      </c>
      <c r="AF21" s="289"/>
      <c r="AG21" s="331">
        <f t="shared" si="13"/>
        <v>360</v>
      </c>
      <c r="AH21" s="331">
        <f>SUM(AC21,AG21)</f>
        <v>9798.000000000002</v>
      </c>
      <c r="AI21" s="286">
        <f>K21-'hoaki dram18'!G23</f>
        <v>0</v>
      </c>
      <c r="AJ21" s="286">
        <f>L21-'hoaki dram18'!H23-B21</f>
        <v>-71.39999999999998</v>
      </c>
      <c r="AK21" s="286">
        <f>M21-'hoaki dram18'!I23-C21</f>
        <v>1.4155343563970746E-15</v>
      </c>
      <c r="AL21" s="286">
        <f>N21-'hoaki dram18'!J23-D21</f>
        <v>0</v>
      </c>
      <c r="AM21" s="286">
        <f>O21-'hoaki dram18'!K23</f>
        <v>0</v>
      </c>
      <c r="AN21" s="286">
        <f>P21-'hoaki dram18'!L23</f>
        <v>0</v>
      </c>
      <c r="AO21" s="286">
        <f>Q21-'hoaki dram18'!M23</f>
        <v>0</v>
      </c>
      <c r="AP21" s="286">
        <f>R21-'hoaki dram18'!N23</f>
        <v>0</v>
      </c>
      <c r="AQ21" s="286">
        <f>S21-'hoaki dram18'!O23</f>
        <v>0</v>
      </c>
      <c r="AR21" s="286">
        <f>T21-'hoaki dram18'!P23</f>
        <v>0</v>
      </c>
      <c r="AS21" s="286">
        <f>U21-'hoaki dram18'!Q23</f>
        <v>0</v>
      </c>
      <c r="AT21" s="286">
        <f>V21-'hoaki dram18'!R23</f>
        <v>0</v>
      </c>
      <c r="AU21" s="286">
        <f>W21-'hoaki dram18'!S23</f>
        <v>0</v>
      </c>
      <c r="AV21" s="286">
        <f>X21-'hoaki dram18'!T23</f>
        <v>0</v>
      </c>
      <c r="AW21" s="286">
        <f>Y21-'hoaki dram18'!U23</f>
        <v>0</v>
      </c>
      <c r="AX21" s="286">
        <f>Z21-'hoaki dram18'!V23</f>
        <v>0</v>
      </c>
      <c r="AY21" s="286">
        <f>AA21-'hoaki dram18'!W23</f>
        <v>0</v>
      </c>
      <c r="AZ21" s="286">
        <f>AB21-'hoaki dram18'!X23</f>
        <v>0</v>
      </c>
      <c r="BA21" s="319">
        <f>AI21+AJ21+AK21+AL21+AM21+AN21+AO21+AP21+AQ21+AR21+AS21+AV21++AX21+AY21+AZ21+AW21+AT21+AU21</f>
        <v>-71.39999999999998</v>
      </c>
      <c r="BB21" s="286">
        <f>AD21-'hoaki dram18'!Z23</f>
        <v>0</v>
      </c>
      <c r="BC21" s="286">
        <f>AE21-'hoaki dram18'!AA23</f>
        <v>0</v>
      </c>
      <c r="BD21" s="286">
        <f>AF21-'hoaki dram18'!AB23</f>
        <v>0</v>
      </c>
      <c r="BE21" s="286">
        <f t="shared" si="14"/>
        <v>0</v>
      </c>
      <c r="BF21" s="319">
        <f t="shared" si="10"/>
        <v>-71.39999999999998</v>
      </c>
      <c r="BG21" s="286">
        <f>G21-'hoaki dram18'!C23</f>
        <v>0</v>
      </c>
      <c r="BH21" s="286">
        <f>H21-'hoaki dram18'!D23</f>
        <v>0</v>
      </c>
      <c r="BI21" s="286">
        <f>I21-'hoaki dram18'!E23-F21</f>
        <v>-71.39999999999745</v>
      </c>
      <c r="BJ21" s="319">
        <f t="shared" si="9"/>
        <v>-71.39999999999745</v>
      </c>
    </row>
    <row r="22" spans="1:62" s="302" customFormat="1" ht="25.5" customHeight="1" thickBot="1">
      <c r="A22" s="299" t="s">
        <v>201</v>
      </c>
      <c r="B22" s="300">
        <f>B17+B18+B19+B20+B21</f>
        <v>611.8</v>
      </c>
      <c r="C22" s="300">
        <f aca="true" t="shared" si="15" ref="C22:BJ22">C17+C18+C19+C20+C21</f>
        <v>11.1</v>
      </c>
      <c r="D22" s="300">
        <f t="shared" si="15"/>
        <v>0.2</v>
      </c>
      <c r="E22" s="300">
        <f t="shared" si="15"/>
        <v>623.1</v>
      </c>
      <c r="F22" s="300">
        <f t="shared" si="15"/>
        <v>623.1</v>
      </c>
      <c r="G22" s="300">
        <f t="shared" si="15"/>
        <v>0</v>
      </c>
      <c r="H22" s="300">
        <f t="shared" si="15"/>
        <v>3967.4</v>
      </c>
      <c r="I22" s="300">
        <f t="shared" si="15"/>
        <v>110227.9</v>
      </c>
      <c r="J22" s="300">
        <f t="shared" si="15"/>
        <v>114195.29999999999</v>
      </c>
      <c r="K22" s="300">
        <f t="shared" si="15"/>
        <v>103053.70000000001</v>
      </c>
      <c r="L22" s="300">
        <f t="shared" si="15"/>
        <v>4658.2</v>
      </c>
      <c r="M22" s="300">
        <f t="shared" si="15"/>
        <v>448.09999999999997</v>
      </c>
      <c r="N22" s="300">
        <f t="shared" si="15"/>
        <v>553.7</v>
      </c>
      <c r="O22" s="300">
        <f t="shared" si="15"/>
        <v>0</v>
      </c>
      <c r="P22" s="300">
        <f t="shared" si="15"/>
        <v>4018.7999999999997</v>
      </c>
      <c r="Q22" s="300">
        <f t="shared" si="15"/>
        <v>22.4</v>
      </c>
      <c r="R22" s="300">
        <f t="shared" si="15"/>
        <v>18</v>
      </c>
      <c r="S22" s="300">
        <f t="shared" si="15"/>
        <v>182.4</v>
      </c>
      <c r="T22" s="301">
        <f t="shared" si="15"/>
        <v>0</v>
      </c>
      <c r="U22" s="300">
        <f t="shared" si="15"/>
        <v>0</v>
      </c>
      <c r="V22" s="300">
        <f t="shared" si="15"/>
        <v>308</v>
      </c>
      <c r="W22" s="300">
        <f t="shared" si="15"/>
        <v>0</v>
      </c>
      <c r="X22" s="300">
        <f t="shared" si="15"/>
        <v>0</v>
      </c>
      <c r="Y22" s="300">
        <f t="shared" si="15"/>
        <v>35</v>
      </c>
      <c r="Z22" s="300">
        <f t="shared" si="15"/>
        <v>362</v>
      </c>
      <c r="AA22" s="300">
        <f t="shared" si="15"/>
        <v>0</v>
      </c>
      <c r="AB22" s="300">
        <f t="shared" si="15"/>
        <v>0</v>
      </c>
      <c r="AC22" s="300">
        <f t="shared" si="15"/>
        <v>113660.29999999999</v>
      </c>
      <c r="AD22" s="300">
        <f t="shared" si="15"/>
        <v>0</v>
      </c>
      <c r="AE22" s="300">
        <f t="shared" si="15"/>
        <v>360</v>
      </c>
      <c r="AF22" s="300">
        <f t="shared" si="15"/>
        <v>175</v>
      </c>
      <c r="AG22" s="300">
        <f t="shared" si="15"/>
        <v>535</v>
      </c>
      <c r="AH22" s="300">
        <f t="shared" si="15"/>
        <v>114195.29999999999</v>
      </c>
      <c r="AI22" s="300">
        <f t="shared" si="15"/>
        <v>0</v>
      </c>
      <c r="AJ22" s="300">
        <f t="shared" si="15"/>
        <v>-669.1</v>
      </c>
      <c r="AK22" s="300">
        <f t="shared" si="15"/>
        <v>-3.700000000000003</v>
      </c>
      <c r="AL22" s="300">
        <f t="shared" si="15"/>
        <v>2.831068712794149E-15</v>
      </c>
      <c r="AM22" s="300">
        <f t="shared" si="15"/>
        <v>0</v>
      </c>
      <c r="AN22" s="300">
        <f t="shared" si="15"/>
        <v>0</v>
      </c>
      <c r="AO22" s="300">
        <f t="shared" si="15"/>
        <v>0</v>
      </c>
      <c r="AP22" s="300">
        <f t="shared" si="15"/>
        <v>0</v>
      </c>
      <c r="AQ22" s="300">
        <f t="shared" si="15"/>
        <v>0</v>
      </c>
      <c r="AR22" s="300">
        <f t="shared" si="15"/>
        <v>0</v>
      </c>
      <c r="AS22" s="300">
        <f t="shared" si="15"/>
        <v>0</v>
      </c>
      <c r="AT22" s="300">
        <f t="shared" si="15"/>
        <v>0</v>
      </c>
      <c r="AU22" s="300">
        <f t="shared" si="15"/>
        <v>0</v>
      </c>
      <c r="AV22" s="300">
        <f t="shared" si="15"/>
        <v>0</v>
      </c>
      <c r="AW22" s="300">
        <f t="shared" si="15"/>
        <v>0</v>
      </c>
      <c r="AX22" s="300">
        <f t="shared" si="15"/>
        <v>0</v>
      </c>
      <c r="AY22" s="300">
        <f t="shared" si="15"/>
        <v>0</v>
      </c>
      <c r="AZ22" s="300">
        <f t="shared" si="15"/>
        <v>0</v>
      </c>
      <c r="BA22" s="300">
        <f t="shared" si="15"/>
        <v>-672.8000000000001</v>
      </c>
      <c r="BB22" s="300">
        <f t="shared" si="15"/>
        <v>0</v>
      </c>
      <c r="BC22" s="300">
        <f t="shared" si="15"/>
        <v>0</v>
      </c>
      <c r="BD22" s="300">
        <f t="shared" si="15"/>
        <v>0</v>
      </c>
      <c r="BE22" s="300">
        <f t="shared" si="15"/>
        <v>0</v>
      </c>
      <c r="BF22" s="300">
        <f t="shared" si="15"/>
        <v>-672.8000000000001</v>
      </c>
      <c r="BG22" s="300">
        <f t="shared" si="15"/>
        <v>0</v>
      </c>
      <c r="BH22" s="300">
        <f t="shared" si="15"/>
        <v>0</v>
      </c>
      <c r="BI22" s="300">
        <f t="shared" si="15"/>
        <v>-672.8000000000062</v>
      </c>
      <c r="BJ22" s="299">
        <f t="shared" si="15"/>
        <v>-672.8000000000062</v>
      </c>
    </row>
    <row r="23" spans="1:62" s="282" customFormat="1" ht="21.75" customHeight="1">
      <c r="A23" s="284" t="s">
        <v>222</v>
      </c>
      <c r="B23" s="285">
        <v>17.5</v>
      </c>
      <c r="C23" s="286">
        <v>1.2</v>
      </c>
      <c r="D23" s="286"/>
      <c r="E23" s="319">
        <f t="shared" si="3"/>
        <v>18.7</v>
      </c>
      <c r="F23" s="324">
        <f t="shared" si="4"/>
        <v>18.7</v>
      </c>
      <c r="G23" s="286"/>
      <c r="H23" s="286"/>
      <c r="I23" s="319">
        <f>AH23-G23-H23</f>
        <v>18677.399999999998</v>
      </c>
      <c r="J23" s="328">
        <f t="shared" si="5"/>
        <v>18677.399999999998</v>
      </c>
      <c r="K23" s="288">
        <v>17797.6</v>
      </c>
      <c r="L23" s="286">
        <v>348</v>
      </c>
      <c r="M23" s="286">
        <v>67.1</v>
      </c>
      <c r="N23" s="286">
        <v>100.5</v>
      </c>
      <c r="O23" s="286"/>
      <c r="P23" s="286"/>
      <c r="Q23" s="286">
        <v>11.2</v>
      </c>
      <c r="R23" s="295">
        <v>3</v>
      </c>
      <c r="S23" s="286">
        <v>115</v>
      </c>
      <c r="T23" s="290"/>
      <c r="U23" s="286"/>
      <c r="V23" s="286">
        <v>30</v>
      </c>
      <c r="W23" s="290"/>
      <c r="X23" s="286"/>
      <c r="Y23" s="286"/>
      <c r="Z23" s="286">
        <v>46</v>
      </c>
      <c r="AA23" s="286"/>
      <c r="AB23" s="286"/>
      <c r="AC23" s="319">
        <f>SUM(K23:AB23)</f>
        <v>18518.399999999998</v>
      </c>
      <c r="AD23" s="286"/>
      <c r="AE23" s="286">
        <v>159</v>
      </c>
      <c r="AF23" s="286"/>
      <c r="AG23" s="319">
        <f t="shared" si="13"/>
        <v>159</v>
      </c>
      <c r="AH23" s="319">
        <f>SUM(AC23,AG23)</f>
        <v>18677.399999999998</v>
      </c>
      <c r="AI23" s="286">
        <f>K23-'hoaki dram18'!G25</f>
        <v>0</v>
      </c>
      <c r="AJ23" s="286">
        <f>L23-'hoaki dram18'!H25-B23</f>
        <v>-1.8999999999999773</v>
      </c>
      <c r="AK23" s="286">
        <f>M23-'hoaki dram18'!I25-C23</f>
        <v>-2.0000000000000115</v>
      </c>
      <c r="AL23" s="286">
        <f>N23-'hoaki dram18'!J25-D23</f>
        <v>0</v>
      </c>
      <c r="AM23" s="286">
        <f>O23-'hoaki dram18'!K25</f>
        <v>0</v>
      </c>
      <c r="AN23" s="286">
        <f>P23-'hoaki dram18'!L25</f>
        <v>0</v>
      </c>
      <c r="AO23" s="286">
        <f>Q23-'hoaki dram18'!M25</f>
        <v>0</v>
      </c>
      <c r="AP23" s="286">
        <f>R23-'hoaki dram18'!N25</f>
        <v>0</v>
      </c>
      <c r="AQ23" s="286">
        <f>S23-'hoaki dram18'!O25</f>
        <v>0</v>
      </c>
      <c r="AR23" s="286">
        <f>T23-'hoaki dram18'!P25</f>
        <v>0</v>
      </c>
      <c r="AS23" s="286">
        <f>U23-'hoaki dram18'!Q25</f>
        <v>0</v>
      </c>
      <c r="AT23" s="286">
        <f>V23-'hoaki dram18'!R25</f>
        <v>0</v>
      </c>
      <c r="AU23" s="286">
        <f>W23-'hoaki dram18'!S25</f>
        <v>0</v>
      </c>
      <c r="AV23" s="286">
        <f>X23-'hoaki dram18'!T25</f>
        <v>0</v>
      </c>
      <c r="AW23" s="286">
        <f>Y23-'hoaki dram18'!U25</f>
        <v>0</v>
      </c>
      <c r="AX23" s="286">
        <f>Z23-'hoaki dram18'!V25</f>
        <v>0</v>
      </c>
      <c r="AY23" s="286">
        <f>AA23-'hoaki dram18'!W25</f>
        <v>0</v>
      </c>
      <c r="AZ23" s="286">
        <f>AB23-'hoaki dram18'!X25</f>
        <v>0</v>
      </c>
      <c r="BA23" s="319">
        <f>AI23+AJ23+AK23+AL23+AM23+AN23+AO23+AP23+AQ23+AR23+AS23+AV23++AX23+AY23+AZ23+AW23+AT23+AU23</f>
        <v>-3.899999999999989</v>
      </c>
      <c r="BB23" s="286">
        <f>AD23-'hoaki dram18'!Z25</f>
        <v>0</v>
      </c>
      <c r="BC23" s="286">
        <f>AE23-'hoaki dram18'!AA25</f>
        <v>0</v>
      </c>
      <c r="BD23" s="286">
        <f>AF23-'hoaki dram18'!AB25</f>
        <v>0</v>
      </c>
      <c r="BE23" s="286">
        <f t="shared" si="14"/>
        <v>0</v>
      </c>
      <c r="BF23" s="319">
        <f t="shared" si="10"/>
        <v>-3.899999999999989</v>
      </c>
      <c r="BG23" s="286">
        <f>G23-'hoaki dram18'!C25</f>
        <v>0</v>
      </c>
      <c r="BH23" s="286">
        <f>H23-'hoaki dram18'!D25</f>
        <v>0</v>
      </c>
      <c r="BI23" s="286">
        <f>I23-'hoaki dram18'!E25-F23</f>
        <v>-3.900000000000727</v>
      </c>
      <c r="BJ23" s="319">
        <f t="shared" si="9"/>
        <v>-3.900000000000727</v>
      </c>
    </row>
    <row r="24" spans="1:62" s="282" customFormat="1" ht="21.75" customHeight="1">
      <c r="A24" s="304" t="s">
        <v>203</v>
      </c>
      <c r="B24" s="293">
        <v>3.1</v>
      </c>
      <c r="C24" s="289">
        <v>6</v>
      </c>
      <c r="D24" s="289"/>
      <c r="E24" s="319">
        <f t="shared" si="3"/>
        <v>9.1</v>
      </c>
      <c r="F24" s="324">
        <f t="shared" si="4"/>
        <v>9.1</v>
      </c>
      <c r="G24" s="289"/>
      <c r="H24" s="289"/>
      <c r="I24" s="319">
        <f>AH24-G24-H24</f>
        <v>12639</v>
      </c>
      <c r="J24" s="328">
        <f t="shared" si="5"/>
        <v>12639</v>
      </c>
      <c r="K24" s="291">
        <v>11190.6</v>
      </c>
      <c r="L24" s="289">
        <v>546.5</v>
      </c>
      <c r="M24" s="289">
        <v>141.9</v>
      </c>
      <c r="N24" s="289">
        <v>42</v>
      </c>
      <c r="O24" s="289"/>
      <c r="P24" s="289"/>
      <c r="Q24" s="289"/>
      <c r="R24" s="295">
        <v>3</v>
      </c>
      <c r="S24" s="289"/>
      <c r="T24" s="292"/>
      <c r="U24" s="289"/>
      <c r="V24" s="289">
        <v>40</v>
      </c>
      <c r="W24" s="292">
        <v>100</v>
      </c>
      <c r="X24" s="289">
        <v>100</v>
      </c>
      <c r="Y24" s="289"/>
      <c r="Z24" s="289">
        <v>400</v>
      </c>
      <c r="AA24" s="289"/>
      <c r="AB24" s="289"/>
      <c r="AC24" s="331">
        <f>SUM(K24:AB24)</f>
        <v>12564</v>
      </c>
      <c r="AD24" s="289"/>
      <c r="AE24" s="289"/>
      <c r="AF24" s="289">
        <v>75</v>
      </c>
      <c r="AG24" s="331">
        <f t="shared" si="13"/>
        <v>75</v>
      </c>
      <c r="AH24" s="331">
        <f>SUM(AC24+AG24)</f>
        <v>12639</v>
      </c>
      <c r="AI24" s="286">
        <f>K24-'hoaki dram18'!G26</f>
        <v>0</v>
      </c>
      <c r="AJ24" s="286">
        <f>L24-'hoaki dram18'!H26-B24</f>
        <v>-35.6</v>
      </c>
      <c r="AK24" s="286">
        <f>M24-'hoaki dram18'!I26-C24</f>
        <v>-3.299999999999983</v>
      </c>
      <c r="AL24" s="286">
        <f>N24-'hoaki dram18'!J26-D24</f>
        <v>0</v>
      </c>
      <c r="AM24" s="286">
        <f>O24-'hoaki dram18'!K26</f>
        <v>0</v>
      </c>
      <c r="AN24" s="286">
        <f>P24-'hoaki dram18'!L26</f>
        <v>0</v>
      </c>
      <c r="AO24" s="286">
        <f>Q24-'hoaki dram18'!M26</f>
        <v>0</v>
      </c>
      <c r="AP24" s="286">
        <f>R24-'hoaki dram18'!N26</f>
        <v>0</v>
      </c>
      <c r="AQ24" s="286">
        <f>S24-'hoaki dram18'!O26</f>
        <v>0</v>
      </c>
      <c r="AR24" s="286">
        <f>T24-'hoaki dram18'!P26</f>
        <v>0</v>
      </c>
      <c r="AS24" s="286">
        <f>U24-'hoaki dram18'!Q26</f>
        <v>0</v>
      </c>
      <c r="AT24" s="286">
        <f>V24-'hoaki dram18'!R26</f>
        <v>0</v>
      </c>
      <c r="AU24" s="286">
        <f>W24-'hoaki dram18'!S26</f>
        <v>0</v>
      </c>
      <c r="AV24" s="286">
        <f>X24-'hoaki dram18'!T26</f>
        <v>0</v>
      </c>
      <c r="AW24" s="286">
        <f>Y24-'hoaki dram18'!U26</f>
        <v>0</v>
      </c>
      <c r="AX24" s="286">
        <f>Z24-'hoaki dram18'!V26</f>
        <v>0</v>
      </c>
      <c r="AY24" s="286">
        <f>AA24-'hoaki dram18'!W26</f>
        <v>0</v>
      </c>
      <c r="AZ24" s="286">
        <f>AB24-'hoaki dram18'!X26</f>
        <v>0</v>
      </c>
      <c r="BA24" s="319">
        <f>AI24+AJ24+AK24+AL24+AM24+AN24+AO24+AP24+AQ24+AR24+AS24+AV24++AX24+AY24+AZ24+AW24+AT24+AU24</f>
        <v>-38.899999999999984</v>
      </c>
      <c r="BB24" s="286">
        <f>AD24-'hoaki dram18'!Z26</f>
        <v>0</v>
      </c>
      <c r="BC24" s="286">
        <f>AE24-'hoaki dram18'!AA26</f>
        <v>0</v>
      </c>
      <c r="BD24" s="286">
        <f>AF24-'hoaki dram18'!AB26</f>
        <v>0</v>
      </c>
      <c r="BE24" s="286">
        <f t="shared" si="14"/>
        <v>0</v>
      </c>
      <c r="BF24" s="319">
        <f>BA24+BE24</f>
        <v>-38.899999999999984</v>
      </c>
      <c r="BG24" s="286">
        <f>G24-'hoaki dram18'!C26</f>
        <v>0</v>
      </c>
      <c r="BH24" s="286">
        <f>H24-'hoaki dram18'!D26</f>
        <v>0</v>
      </c>
      <c r="BI24" s="286">
        <f>I24-'hoaki dram18'!E26-F24</f>
        <v>-38.899999999999274</v>
      </c>
      <c r="BJ24" s="319">
        <f t="shared" si="9"/>
        <v>-38.899999999999274</v>
      </c>
    </row>
    <row r="25" spans="1:63" s="282" customFormat="1" ht="21.75" customHeight="1">
      <c r="A25" s="304" t="s">
        <v>204</v>
      </c>
      <c r="B25" s="293">
        <v>15</v>
      </c>
      <c r="C25" s="289"/>
      <c r="D25" s="289"/>
      <c r="E25" s="319">
        <f t="shared" si="3"/>
        <v>15</v>
      </c>
      <c r="F25" s="324">
        <f t="shared" si="4"/>
        <v>15</v>
      </c>
      <c r="G25" s="289"/>
      <c r="H25" s="289"/>
      <c r="I25" s="319">
        <f>AH25-G25-H25</f>
        <v>21628.199999999997</v>
      </c>
      <c r="J25" s="328">
        <f t="shared" si="5"/>
        <v>21628.199999999997</v>
      </c>
      <c r="K25" s="291">
        <v>21057.8</v>
      </c>
      <c r="L25" s="289">
        <v>89.6</v>
      </c>
      <c r="M25" s="289">
        <v>66.6</v>
      </c>
      <c r="N25" s="289">
        <v>140.8</v>
      </c>
      <c r="O25" s="289"/>
      <c r="P25" s="289"/>
      <c r="Q25" s="289">
        <v>90.4</v>
      </c>
      <c r="R25" s="295">
        <v>3</v>
      </c>
      <c r="S25" s="289"/>
      <c r="T25" s="292"/>
      <c r="U25" s="289"/>
      <c r="V25" s="289">
        <v>80</v>
      </c>
      <c r="W25" s="292"/>
      <c r="X25" s="289"/>
      <c r="Y25" s="289"/>
      <c r="Z25" s="289">
        <v>100</v>
      </c>
      <c r="AA25" s="289"/>
      <c r="AB25" s="289"/>
      <c r="AC25" s="331">
        <f>SUM(K25:AB25)</f>
        <v>21628.199999999997</v>
      </c>
      <c r="AD25" s="289"/>
      <c r="AE25" s="289"/>
      <c r="AF25" s="289"/>
      <c r="AG25" s="331">
        <f t="shared" si="13"/>
        <v>0</v>
      </c>
      <c r="AH25" s="331">
        <f>SUM(AC25,AG25)</f>
        <v>21628.199999999997</v>
      </c>
      <c r="AI25" s="286">
        <f>K25-'hoaki dram18'!G27</f>
        <v>0</v>
      </c>
      <c r="AJ25" s="286">
        <f>L25-'hoaki dram18'!H27-B25</f>
        <v>-6.200000000000003</v>
      </c>
      <c r="AK25" s="286">
        <f>M25-'hoaki dram18'!I27-C25</f>
        <v>0</v>
      </c>
      <c r="AL25" s="286">
        <f>N25-'hoaki dram18'!J27-D25</f>
        <v>0</v>
      </c>
      <c r="AM25" s="286">
        <f>O25-'hoaki dram18'!K27</f>
        <v>0</v>
      </c>
      <c r="AN25" s="286">
        <f>P25-'hoaki dram18'!L27</f>
        <v>0</v>
      </c>
      <c r="AO25" s="286">
        <f>Q25-'hoaki dram18'!M27</f>
        <v>0</v>
      </c>
      <c r="AP25" s="286">
        <f>R25-'hoaki dram18'!N27</f>
        <v>0</v>
      </c>
      <c r="AQ25" s="286">
        <f>S25-'hoaki dram18'!O27</f>
        <v>0</v>
      </c>
      <c r="AR25" s="286">
        <f>T25-'hoaki dram18'!P27</f>
        <v>0</v>
      </c>
      <c r="AS25" s="286">
        <f>U25-'hoaki dram18'!Q27</f>
        <v>0</v>
      </c>
      <c r="AT25" s="286">
        <f>V25-'hoaki dram18'!R27</f>
        <v>0</v>
      </c>
      <c r="AU25" s="286">
        <f>W25-'hoaki dram18'!S27</f>
        <v>0</v>
      </c>
      <c r="AV25" s="286">
        <f>X25-'hoaki dram18'!T27</f>
        <v>0</v>
      </c>
      <c r="AW25" s="286">
        <f>Y25-'hoaki dram18'!U27</f>
        <v>0</v>
      </c>
      <c r="AX25" s="286">
        <f>Z25-'hoaki dram18'!V27</f>
        <v>0</v>
      </c>
      <c r="AY25" s="286">
        <f>AA25-'hoaki dram18'!W27</f>
        <v>0</v>
      </c>
      <c r="AZ25" s="286">
        <f>AB25-'hoaki dram18'!X27</f>
        <v>0</v>
      </c>
      <c r="BA25" s="319">
        <f>AI25+AJ25+AK25+AL25+AM25+AN25+AO25+AP25+AQ25+AR25+AS25+AV25++AX25+AY25+AZ25+AW25+AT25+AU25</f>
        <v>-6.200000000000003</v>
      </c>
      <c r="BB25" s="286">
        <f>AD25-'hoaki dram18'!Z27</f>
        <v>0</v>
      </c>
      <c r="BC25" s="286">
        <f>AE25-'hoaki dram18'!AA27</f>
        <v>0</v>
      </c>
      <c r="BD25" s="286">
        <f>AF25-'hoaki dram18'!AB27</f>
        <v>0</v>
      </c>
      <c r="BE25" s="286">
        <f t="shared" si="14"/>
        <v>0</v>
      </c>
      <c r="BF25" s="319">
        <f>BA25+BE25</f>
        <v>-6.200000000000003</v>
      </c>
      <c r="BG25" s="286">
        <f>G25-'hoaki dram18'!C27</f>
        <v>0</v>
      </c>
      <c r="BH25" s="286">
        <f>H25-'hoaki dram18'!D27</f>
        <v>0</v>
      </c>
      <c r="BI25" s="286">
        <f>I25-'hoaki dram18'!E27-F25</f>
        <v>-6.200000000004366</v>
      </c>
      <c r="BJ25" s="319">
        <f t="shared" si="9"/>
        <v>-6.200000000004366</v>
      </c>
      <c r="BK25" s="282" t="s">
        <v>86</v>
      </c>
    </row>
    <row r="26" spans="1:62" s="282" customFormat="1" ht="21.75" customHeight="1">
      <c r="A26" s="304" t="s">
        <v>205</v>
      </c>
      <c r="B26" s="293"/>
      <c r="C26" s="289"/>
      <c r="D26" s="289"/>
      <c r="E26" s="319">
        <f t="shared" si="3"/>
        <v>0</v>
      </c>
      <c r="F26" s="324">
        <f t="shared" si="4"/>
        <v>0</v>
      </c>
      <c r="G26" s="289"/>
      <c r="H26" s="289"/>
      <c r="I26" s="319">
        <f>AH26-G26-H26</f>
        <v>18125.5</v>
      </c>
      <c r="J26" s="328">
        <f t="shared" si="5"/>
        <v>18125.5</v>
      </c>
      <c r="K26" s="291">
        <v>8404.5</v>
      </c>
      <c r="L26" s="289">
        <v>6817.5</v>
      </c>
      <c r="M26" s="289"/>
      <c r="N26" s="289">
        <v>42</v>
      </c>
      <c r="O26" s="289"/>
      <c r="P26" s="289"/>
      <c r="Q26" s="289"/>
      <c r="R26" s="295">
        <v>3</v>
      </c>
      <c r="S26" s="289"/>
      <c r="T26" s="289"/>
      <c r="U26" s="289">
        <v>2425.9</v>
      </c>
      <c r="V26" s="289">
        <v>60</v>
      </c>
      <c r="W26" s="292"/>
      <c r="X26" s="289">
        <v>352.6</v>
      </c>
      <c r="Y26" s="289"/>
      <c r="Z26" s="289">
        <v>20</v>
      </c>
      <c r="AA26" s="289"/>
      <c r="AB26" s="289"/>
      <c r="AC26" s="331">
        <f>SUM(K26:AB26)</f>
        <v>18125.5</v>
      </c>
      <c r="AD26" s="289"/>
      <c r="AE26" s="289"/>
      <c r="AF26" s="289"/>
      <c r="AG26" s="331">
        <f>SUM(AD26:AF26)</f>
        <v>0</v>
      </c>
      <c r="AH26" s="331">
        <f>SUM(AC26,AG26)</f>
        <v>18125.5</v>
      </c>
      <c r="AI26" s="286">
        <f>K26-'hoaki dram18'!G28</f>
        <v>0</v>
      </c>
      <c r="AJ26" s="286">
        <f>L26-'hoaki dram18'!H28-B26</f>
        <v>-0.5</v>
      </c>
      <c r="AK26" s="286">
        <f>M26-'hoaki dram18'!I28-C26</f>
        <v>0</v>
      </c>
      <c r="AL26" s="286">
        <f>N26-'hoaki dram18'!J28-D26</f>
        <v>0</v>
      </c>
      <c r="AM26" s="286">
        <f>O26-'hoaki dram18'!K28</f>
        <v>0</v>
      </c>
      <c r="AN26" s="286">
        <f>P26-'hoaki dram18'!L28</f>
        <v>0</v>
      </c>
      <c r="AO26" s="286">
        <f>Q26-'hoaki dram18'!M28</f>
        <v>0</v>
      </c>
      <c r="AP26" s="286">
        <f>R26-'hoaki dram18'!N28</f>
        <v>0</v>
      </c>
      <c r="AQ26" s="286">
        <f>S26-'hoaki dram18'!O28</f>
        <v>0</v>
      </c>
      <c r="AR26" s="286">
        <f>T26-'hoaki dram18'!P28</f>
        <v>0</v>
      </c>
      <c r="AS26" s="286">
        <f>U26-'hoaki dram18'!Q28</f>
        <v>0</v>
      </c>
      <c r="AT26" s="286">
        <f>V26-'hoaki dram18'!R28</f>
        <v>0</v>
      </c>
      <c r="AU26" s="286">
        <f>W26-'hoaki dram18'!S28</f>
        <v>0</v>
      </c>
      <c r="AV26" s="286">
        <f>X26-'hoaki dram18'!T28</f>
        <v>0</v>
      </c>
      <c r="AW26" s="286">
        <f>Y26-'hoaki dram18'!U28</f>
        <v>0</v>
      </c>
      <c r="AX26" s="286">
        <f>Z26-'hoaki dram18'!V28</f>
        <v>0</v>
      </c>
      <c r="AY26" s="286">
        <f>AA26-'hoaki dram18'!W28</f>
        <v>0</v>
      </c>
      <c r="AZ26" s="286">
        <f>AB26-'hoaki dram18'!X28</f>
        <v>0</v>
      </c>
      <c r="BA26" s="319">
        <f>AI26+AJ26+AK26+AL26+AM26+AN26+AO26+AP26+AQ26+AR26+AS26+AV26++AX26+AY26+AZ26+AW26+AT26+AU26</f>
        <v>-0.5</v>
      </c>
      <c r="BB26" s="286">
        <f>AD26-'hoaki dram18'!Z28</f>
        <v>0</v>
      </c>
      <c r="BC26" s="286">
        <f>AE26-'hoaki dram18'!AA28</f>
        <v>0</v>
      </c>
      <c r="BD26" s="286">
        <f>AF26-'hoaki dram18'!AB28</f>
        <v>0</v>
      </c>
      <c r="BE26" s="286">
        <f t="shared" si="14"/>
        <v>0</v>
      </c>
      <c r="BF26" s="319">
        <f>BA26+BE26</f>
        <v>-0.5</v>
      </c>
      <c r="BG26" s="286">
        <f>G26-'hoaki dram18'!C28</f>
        <v>0</v>
      </c>
      <c r="BH26" s="286">
        <f>H26-'hoaki dram18'!D28</f>
        <v>0</v>
      </c>
      <c r="BI26" s="286">
        <f>I26-'hoaki dram18'!E28-F26</f>
        <v>-0.5</v>
      </c>
      <c r="BJ26" s="319">
        <f t="shared" si="9"/>
        <v>-0.5</v>
      </c>
    </row>
    <row r="27" spans="1:62" s="282" customFormat="1" ht="21.75" customHeight="1" thickBot="1">
      <c r="A27" s="304" t="s">
        <v>110</v>
      </c>
      <c r="B27" s="294">
        <v>342.6</v>
      </c>
      <c r="C27" s="295"/>
      <c r="D27" s="295"/>
      <c r="E27" s="319">
        <f t="shared" si="3"/>
        <v>342.6</v>
      </c>
      <c r="F27" s="324">
        <f t="shared" si="4"/>
        <v>342.6</v>
      </c>
      <c r="G27" s="295"/>
      <c r="H27" s="295"/>
      <c r="I27" s="319">
        <f>AH27-G27-H27</f>
        <v>26017.199999999997</v>
      </c>
      <c r="J27" s="328">
        <f t="shared" si="5"/>
        <v>26017.199999999997</v>
      </c>
      <c r="K27" s="288">
        <v>4846.6</v>
      </c>
      <c r="L27" s="286">
        <v>16515.6</v>
      </c>
      <c r="M27" s="286"/>
      <c r="N27" s="286">
        <v>99.3</v>
      </c>
      <c r="O27" s="286">
        <v>18</v>
      </c>
      <c r="P27" s="286"/>
      <c r="Q27" s="286"/>
      <c r="R27" s="289">
        <v>3</v>
      </c>
      <c r="S27" s="295"/>
      <c r="T27" s="298"/>
      <c r="U27" s="295"/>
      <c r="V27" s="295">
        <v>40</v>
      </c>
      <c r="W27" s="298"/>
      <c r="X27" s="295">
        <v>1431.4</v>
      </c>
      <c r="Y27" s="295"/>
      <c r="Z27" s="295">
        <v>3047.6</v>
      </c>
      <c r="AA27" s="295"/>
      <c r="AB27" s="295">
        <v>15.7</v>
      </c>
      <c r="AC27" s="332">
        <f>SUM(K27:AB27)</f>
        <v>26017.199999999997</v>
      </c>
      <c r="AD27" s="295"/>
      <c r="AE27" s="295"/>
      <c r="AF27" s="295"/>
      <c r="AG27" s="332">
        <f>SUM(AD27:AF27)</f>
        <v>0</v>
      </c>
      <c r="AH27" s="332">
        <f>SUM(AC27,AG27)</f>
        <v>26017.199999999997</v>
      </c>
      <c r="AI27" s="286">
        <f>K27-'hoaki dram18'!G29</f>
        <v>0</v>
      </c>
      <c r="AJ27" s="286">
        <f>L27-'hoaki dram18'!H29-B27</f>
        <v>-466.30000000000075</v>
      </c>
      <c r="AK27" s="296">
        <f>M27-'hoaki dram18'!I29-C27</f>
        <v>0</v>
      </c>
      <c r="AL27" s="296">
        <f>N27-'hoaki dram18'!J29-D27</f>
        <v>0</v>
      </c>
      <c r="AM27" s="296">
        <f>O27-'hoaki dram18'!K29</f>
        <v>0</v>
      </c>
      <c r="AN27" s="296">
        <f>P27-'hoaki dram18'!L29</f>
        <v>0</v>
      </c>
      <c r="AO27" s="296">
        <f>Q27-'hoaki dram18'!M29</f>
        <v>0</v>
      </c>
      <c r="AP27" s="296">
        <f>R27-'hoaki dram18'!N29</f>
        <v>0</v>
      </c>
      <c r="AQ27" s="296">
        <f>S27-'hoaki dram18'!O29</f>
        <v>0</v>
      </c>
      <c r="AR27" s="296">
        <f>T27-'hoaki dram18'!P29</f>
        <v>0</v>
      </c>
      <c r="AS27" s="296">
        <f>U27-'hoaki dram18'!Q29</f>
        <v>0</v>
      </c>
      <c r="AT27" s="296">
        <f>V27-'hoaki dram18'!R29</f>
        <v>0</v>
      </c>
      <c r="AU27" s="296">
        <f>W27-'hoaki dram18'!S29</f>
        <v>0</v>
      </c>
      <c r="AV27" s="296">
        <f>X27-'hoaki dram18'!T29</f>
        <v>0</v>
      </c>
      <c r="AW27" s="296">
        <f>Y27-'hoaki dram18'!U29</f>
        <v>0</v>
      </c>
      <c r="AX27" s="296">
        <f>Z27-'hoaki dram18'!V29</f>
        <v>0</v>
      </c>
      <c r="AY27" s="296">
        <f>AA27-'hoaki dram18'!W29</f>
        <v>0</v>
      </c>
      <c r="AZ27" s="296">
        <f>AB27-'hoaki dram18'!X29</f>
        <v>0</v>
      </c>
      <c r="BA27" s="319">
        <f>AI27+AJ27+AK27+AL27+AM27+AN27+AO27+AP27+AQ27+AR27+AS27+AV27++AX27+AY27+AZ27+AW27+AT27+AU27</f>
        <v>-466.30000000000075</v>
      </c>
      <c r="BB27" s="296">
        <f>AD27-'hoaki dram18'!Z29</f>
        <v>0</v>
      </c>
      <c r="BC27" s="296">
        <f>AE27-'hoaki dram18'!AA29</f>
        <v>0</v>
      </c>
      <c r="BD27" s="296">
        <f>AF27-'hoaki dram18'!AB29</f>
        <v>0</v>
      </c>
      <c r="BE27" s="286">
        <f t="shared" si="14"/>
        <v>0</v>
      </c>
      <c r="BF27" s="320">
        <f>BA27+BE27</f>
        <v>-466.30000000000075</v>
      </c>
      <c r="BG27" s="286">
        <f>G27-'hoaki dram18'!C29</f>
        <v>0</v>
      </c>
      <c r="BH27" s="286">
        <f>H27-'hoaki dram18'!D29</f>
        <v>0</v>
      </c>
      <c r="BI27" s="286">
        <f>I27-'hoaki dram18'!E29-F27</f>
        <v>-466.3000000000044</v>
      </c>
      <c r="BJ27" s="319">
        <f t="shared" si="9"/>
        <v>-466.3000000000044</v>
      </c>
    </row>
    <row r="28" spans="1:62" s="302" customFormat="1" ht="25.5" customHeight="1" thickBot="1">
      <c r="A28" s="299" t="s">
        <v>140</v>
      </c>
      <c r="B28" s="300">
        <f>B16+B22+B23+B24+B25+B26+B27</f>
        <v>1657.6999999999998</v>
      </c>
      <c r="C28" s="300">
        <f aca="true" t="shared" si="16" ref="C28:BJ28">C16+C22+C23+C24+C25+C26+C27</f>
        <v>30.099999999999998</v>
      </c>
      <c r="D28" s="300">
        <f t="shared" si="16"/>
        <v>0.4</v>
      </c>
      <c r="E28" s="300">
        <f t="shared" si="16"/>
        <v>1688.1999999999998</v>
      </c>
      <c r="F28" s="300">
        <f t="shared" si="16"/>
        <v>1688.1999999999998</v>
      </c>
      <c r="G28" s="300">
        <f t="shared" si="16"/>
        <v>0</v>
      </c>
      <c r="H28" s="300">
        <f t="shared" si="16"/>
        <v>3967.4</v>
      </c>
      <c r="I28" s="300">
        <f t="shared" si="16"/>
        <v>495325.6</v>
      </c>
      <c r="J28" s="300">
        <f t="shared" si="16"/>
        <v>499293</v>
      </c>
      <c r="K28" s="300">
        <f t="shared" si="16"/>
        <v>371871.1999999999</v>
      </c>
      <c r="L28" s="300">
        <f t="shared" si="16"/>
        <v>36650.5</v>
      </c>
      <c r="M28" s="300">
        <f t="shared" si="16"/>
        <v>3116.2</v>
      </c>
      <c r="N28" s="300">
        <f t="shared" si="16"/>
        <v>2159</v>
      </c>
      <c r="O28" s="300">
        <f t="shared" si="16"/>
        <v>18</v>
      </c>
      <c r="P28" s="300">
        <f t="shared" si="16"/>
        <v>4018.7999999999997</v>
      </c>
      <c r="Q28" s="300">
        <f t="shared" si="16"/>
        <v>124</v>
      </c>
      <c r="R28" s="300">
        <f t="shared" si="16"/>
        <v>63</v>
      </c>
      <c r="S28" s="300">
        <f t="shared" si="16"/>
        <v>3608.5000000000005</v>
      </c>
      <c r="T28" s="301">
        <f t="shared" si="16"/>
        <v>0</v>
      </c>
      <c r="U28" s="300">
        <f t="shared" si="16"/>
        <v>2425.9</v>
      </c>
      <c r="V28" s="300">
        <f t="shared" si="16"/>
        <v>2931.0999999999995</v>
      </c>
      <c r="W28" s="301">
        <f t="shared" si="16"/>
        <v>100</v>
      </c>
      <c r="X28" s="300">
        <f t="shared" si="16"/>
        <v>1884</v>
      </c>
      <c r="Y28" s="300">
        <f t="shared" si="16"/>
        <v>256</v>
      </c>
      <c r="Z28" s="300">
        <f t="shared" si="16"/>
        <v>67200</v>
      </c>
      <c r="AA28" s="300">
        <f t="shared" si="16"/>
        <v>846.0999999999999</v>
      </c>
      <c r="AB28" s="300">
        <f t="shared" si="16"/>
        <v>15.7</v>
      </c>
      <c r="AC28" s="300">
        <f t="shared" si="16"/>
        <v>497288</v>
      </c>
      <c r="AD28" s="300">
        <f t="shared" si="16"/>
        <v>0</v>
      </c>
      <c r="AE28" s="300">
        <f t="shared" si="16"/>
        <v>1755</v>
      </c>
      <c r="AF28" s="300">
        <f t="shared" si="16"/>
        <v>250</v>
      </c>
      <c r="AG28" s="300">
        <f t="shared" si="16"/>
        <v>2005</v>
      </c>
      <c r="AH28" s="300">
        <f t="shared" si="16"/>
        <v>499293</v>
      </c>
      <c r="AI28" s="300">
        <f t="shared" si="16"/>
        <v>0</v>
      </c>
      <c r="AJ28" s="300">
        <f t="shared" si="16"/>
        <v>-1918.400000000001</v>
      </c>
      <c r="AK28" s="300">
        <f t="shared" si="16"/>
        <v>-35.799999999999926</v>
      </c>
      <c r="AL28" s="300">
        <f t="shared" si="16"/>
        <v>5.662137425588298E-15</v>
      </c>
      <c r="AM28" s="300">
        <f t="shared" si="16"/>
        <v>0</v>
      </c>
      <c r="AN28" s="300">
        <f t="shared" si="16"/>
        <v>0</v>
      </c>
      <c r="AO28" s="300">
        <f t="shared" si="16"/>
        <v>0</v>
      </c>
      <c r="AP28" s="300">
        <f t="shared" si="16"/>
        <v>0</v>
      </c>
      <c r="AQ28" s="300">
        <f t="shared" si="16"/>
        <v>0</v>
      </c>
      <c r="AR28" s="300">
        <f t="shared" si="16"/>
        <v>0</v>
      </c>
      <c r="AS28" s="300">
        <f t="shared" si="16"/>
        <v>0</v>
      </c>
      <c r="AT28" s="300">
        <f t="shared" si="16"/>
        <v>0</v>
      </c>
      <c r="AU28" s="300">
        <f t="shared" si="16"/>
        <v>0</v>
      </c>
      <c r="AV28" s="300">
        <f t="shared" si="16"/>
        <v>0</v>
      </c>
      <c r="AW28" s="300">
        <f t="shared" si="16"/>
        <v>0</v>
      </c>
      <c r="AX28" s="300">
        <f t="shared" si="16"/>
        <v>0</v>
      </c>
      <c r="AY28" s="300">
        <f t="shared" si="16"/>
        <v>0</v>
      </c>
      <c r="AZ28" s="300">
        <f t="shared" si="16"/>
        <v>0</v>
      </c>
      <c r="BA28" s="300">
        <f t="shared" si="16"/>
        <v>-1954.2000000000012</v>
      </c>
      <c r="BB28" s="300">
        <f t="shared" si="16"/>
        <v>0</v>
      </c>
      <c r="BC28" s="300">
        <f t="shared" si="16"/>
        <v>0</v>
      </c>
      <c r="BD28" s="300">
        <f t="shared" si="16"/>
        <v>0</v>
      </c>
      <c r="BE28" s="300">
        <f t="shared" si="16"/>
        <v>0</v>
      </c>
      <c r="BF28" s="300">
        <f t="shared" si="16"/>
        <v>-1954.2000000000012</v>
      </c>
      <c r="BG28" s="300">
        <f t="shared" si="16"/>
        <v>0</v>
      </c>
      <c r="BH28" s="300">
        <f t="shared" si="16"/>
        <v>0</v>
      </c>
      <c r="BI28" s="300">
        <f t="shared" si="16"/>
        <v>-1993.0000000000337</v>
      </c>
      <c r="BJ28" s="299">
        <f t="shared" si="16"/>
        <v>-1993.0000000000337</v>
      </c>
    </row>
    <row r="29" spans="5:63" s="305" customFormat="1" ht="12.75">
      <c r="E29" s="321"/>
      <c r="F29" s="321"/>
      <c r="I29" s="321"/>
      <c r="J29" s="321"/>
      <c r="R29" s="306"/>
      <c r="T29" s="306"/>
      <c r="AC29" s="321"/>
      <c r="AG29" s="321"/>
      <c r="AH29" s="321"/>
      <c r="AR29" s="307"/>
      <c r="AS29" s="307"/>
      <c r="AT29" s="307"/>
      <c r="AU29" s="307"/>
      <c r="AV29" s="307"/>
      <c r="AW29" s="307"/>
      <c r="AX29" s="307"/>
      <c r="AY29" s="307"/>
      <c r="AZ29" s="307"/>
      <c r="BA29" s="334"/>
      <c r="BB29" s="307"/>
      <c r="BC29" s="307"/>
      <c r="BD29" s="307"/>
      <c r="BE29" s="307"/>
      <c r="BF29" s="334"/>
      <c r="BG29" s="307"/>
      <c r="BH29" s="307"/>
      <c r="BJ29" s="321"/>
      <c r="BK29" s="308"/>
    </row>
    <row r="30" spans="5:63" s="305" customFormat="1" ht="12.75">
      <c r="E30" s="321"/>
      <c r="F30" s="321"/>
      <c r="I30" s="321"/>
      <c r="J30" s="321"/>
      <c r="R30" s="306"/>
      <c r="T30" s="306"/>
      <c r="AC30" s="321"/>
      <c r="AG30" s="321"/>
      <c r="AH30" s="321"/>
      <c r="AR30" s="307"/>
      <c r="AS30" s="307"/>
      <c r="AT30" s="307"/>
      <c r="AU30" s="307"/>
      <c r="AV30" s="307"/>
      <c r="AW30" s="307"/>
      <c r="AX30" s="307"/>
      <c r="AY30" s="307"/>
      <c r="AZ30" s="307"/>
      <c r="BA30" s="334"/>
      <c r="BB30" s="307"/>
      <c r="BC30" s="307"/>
      <c r="BD30" s="307"/>
      <c r="BE30" s="307"/>
      <c r="BF30" s="334"/>
      <c r="BG30" s="307"/>
      <c r="BH30" s="307"/>
      <c r="BJ30" s="321"/>
      <c r="BK30" s="308"/>
    </row>
    <row r="31" spans="5:63" s="305" customFormat="1" ht="12.75">
      <c r="E31" s="321"/>
      <c r="F31" s="321"/>
      <c r="I31" s="321"/>
      <c r="J31" s="321"/>
      <c r="R31" s="306"/>
      <c r="T31" s="306"/>
      <c r="AC31" s="321"/>
      <c r="AG31" s="321"/>
      <c r="AH31" s="321"/>
      <c r="AR31" s="307"/>
      <c r="AS31" s="307"/>
      <c r="AT31" s="307"/>
      <c r="AU31" s="307"/>
      <c r="AV31" s="307"/>
      <c r="AW31" s="307"/>
      <c r="AX31" s="307"/>
      <c r="AY31" s="307"/>
      <c r="AZ31" s="307"/>
      <c r="BA31" s="334"/>
      <c r="BB31" s="307"/>
      <c r="BC31" s="307"/>
      <c r="BD31" s="307"/>
      <c r="BE31" s="307"/>
      <c r="BF31" s="334"/>
      <c r="BG31" s="307"/>
      <c r="BH31" s="307"/>
      <c r="BJ31" s="321"/>
      <c r="BK31" s="308"/>
    </row>
    <row r="32" spans="5:63" s="305" customFormat="1" ht="12.75">
      <c r="E32" s="321"/>
      <c r="F32" s="321"/>
      <c r="I32" s="321"/>
      <c r="J32" s="321"/>
      <c r="R32" s="306"/>
      <c r="T32" s="306"/>
      <c r="AC32" s="321"/>
      <c r="AG32" s="321"/>
      <c r="AH32" s="321"/>
      <c r="AR32" s="307"/>
      <c r="AS32" s="307"/>
      <c r="AT32" s="307"/>
      <c r="AU32" s="307"/>
      <c r="AV32" s="307"/>
      <c r="AW32" s="307"/>
      <c r="AX32" s="307"/>
      <c r="AY32" s="307"/>
      <c r="AZ32" s="307"/>
      <c r="BA32" s="334"/>
      <c r="BB32" s="307"/>
      <c r="BC32" s="307"/>
      <c r="BD32" s="307"/>
      <c r="BE32" s="307"/>
      <c r="BF32" s="334"/>
      <c r="BG32" s="307"/>
      <c r="BH32" s="307"/>
      <c r="BJ32" s="321"/>
      <c r="BK32" s="308"/>
    </row>
    <row r="33" spans="5:63" s="305" customFormat="1" ht="12.75">
      <c r="E33" s="321"/>
      <c r="F33" s="321"/>
      <c r="I33" s="321"/>
      <c r="J33" s="321"/>
      <c r="R33" s="306"/>
      <c r="T33" s="306"/>
      <c r="AC33" s="321"/>
      <c r="AG33" s="321"/>
      <c r="AH33" s="321"/>
      <c r="AR33" s="307"/>
      <c r="AS33" s="307"/>
      <c r="AT33" s="307"/>
      <c r="AU33" s="307"/>
      <c r="AV33" s="307"/>
      <c r="AW33" s="307"/>
      <c r="AX33" s="307"/>
      <c r="AY33" s="307"/>
      <c r="AZ33" s="307"/>
      <c r="BA33" s="334"/>
      <c r="BB33" s="307"/>
      <c r="BC33" s="307"/>
      <c r="BD33" s="307"/>
      <c r="BE33" s="307"/>
      <c r="BF33" s="334"/>
      <c r="BG33" s="307"/>
      <c r="BH33" s="307"/>
      <c r="BJ33" s="321"/>
      <c r="BK33" s="308"/>
    </row>
    <row r="34" spans="5:63" s="305" customFormat="1" ht="12.75">
      <c r="E34" s="321"/>
      <c r="F34" s="321"/>
      <c r="I34" s="321"/>
      <c r="J34" s="321"/>
      <c r="R34" s="306"/>
      <c r="T34" s="306"/>
      <c r="AC34" s="321"/>
      <c r="AG34" s="321"/>
      <c r="AH34" s="321"/>
      <c r="AR34" s="307"/>
      <c r="AS34" s="307"/>
      <c r="AT34" s="307"/>
      <c r="AU34" s="307"/>
      <c r="AV34" s="307"/>
      <c r="AW34" s="307"/>
      <c r="AX34" s="307"/>
      <c r="AY34" s="307"/>
      <c r="AZ34" s="307"/>
      <c r="BA34" s="334"/>
      <c r="BB34" s="307"/>
      <c r="BC34" s="307"/>
      <c r="BD34" s="307"/>
      <c r="BE34" s="307"/>
      <c r="BF34" s="334"/>
      <c r="BG34" s="307"/>
      <c r="BH34" s="307"/>
      <c r="BJ34" s="321"/>
      <c r="BK34" s="308"/>
    </row>
    <row r="35" spans="5:63" s="305" customFormat="1" ht="12.75">
      <c r="E35" s="321"/>
      <c r="F35" s="321"/>
      <c r="I35" s="321"/>
      <c r="J35" s="321"/>
      <c r="R35" s="306"/>
      <c r="T35" s="306"/>
      <c r="AC35" s="321"/>
      <c r="AG35" s="321"/>
      <c r="AH35" s="321"/>
      <c r="AR35" s="307"/>
      <c r="AS35" s="307"/>
      <c r="AT35" s="307"/>
      <c r="AU35" s="307"/>
      <c r="AV35" s="307"/>
      <c r="AW35" s="307"/>
      <c r="AX35" s="307"/>
      <c r="AY35" s="307"/>
      <c r="AZ35" s="307"/>
      <c r="BA35" s="334"/>
      <c r="BB35" s="307"/>
      <c r="BC35" s="307"/>
      <c r="BD35" s="307"/>
      <c r="BE35" s="307"/>
      <c r="BF35" s="334"/>
      <c r="BG35" s="307"/>
      <c r="BH35" s="307"/>
      <c r="BJ35" s="321"/>
      <c r="BK35" s="308"/>
    </row>
    <row r="36" spans="5:63" s="305" customFormat="1" ht="12.75">
      <c r="E36" s="321"/>
      <c r="F36" s="321"/>
      <c r="I36" s="321"/>
      <c r="J36" s="321"/>
      <c r="R36" s="306"/>
      <c r="T36" s="306"/>
      <c r="AC36" s="321"/>
      <c r="AG36" s="321"/>
      <c r="AH36" s="321"/>
      <c r="AR36" s="307"/>
      <c r="AS36" s="307"/>
      <c r="AT36" s="307"/>
      <c r="AU36" s="307"/>
      <c r="AV36" s="307"/>
      <c r="AW36" s="307"/>
      <c r="AX36" s="307"/>
      <c r="AY36" s="307"/>
      <c r="AZ36" s="307"/>
      <c r="BA36" s="334"/>
      <c r="BB36" s="307"/>
      <c r="BC36" s="307"/>
      <c r="BD36" s="307"/>
      <c r="BE36" s="307"/>
      <c r="BF36" s="334"/>
      <c r="BG36" s="307"/>
      <c r="BH36" s="307"/>
      <c r="BJ36" s="321"/>
      <c r="BK36" s="308"/>
    </row>
    <row r="37" spans="5:63" s="305" customFormat="1" ht="12.75">
      <c r="E37" s="321"/>
      <c r="F37" s="321"/>
      <c r="I37" s="321"/>
      <c r="J37" s="321"/>
      <c r="R37" s="306"/>
      <c r="T37" s="306"/>
      <c r="AC37" s="321"/>
      <c r="AG37" s="321"/>
      <c r="AH37" s="321"/>
      <c r="AR37" s="307"/>
      <c r="AS37" s="307"/>
      <c r="AT37" s="307"/>
      <c r="AU37" s="307"/>
      <c r="AV37" s="307"/>
      <c r="AW37" s="307"/>
      <c r="AX37" s="307"/>
      <c r="AY37" s="307"/>
      <c r="AZ37" s="307"/>
      <c r="BA37" s="334"/>
      <c r="BB37" s="307"/>
      <c r="BC37" s="307"/>
      <c r="BD37" s="307"/>
      <c r="BE37" s="307"/>
      <c r="BF37" s="334"/>
      <c r="BG37" s="307"/>
      <c r="BH37" s="307"/>
      <c r="BJ37" s="321"/>
      <c r="BK37" s="308"/>
    </row>
    <row r="38" spans="5:63" s="305" customFormat="1" ht="12.75">
      <c r="E38" s="321"/>
      <c r="F38" s="321"/>
      <c r="I38" s="321"/>
      <c r="J38" s="321"/>
      <c r="R38" s="306"/>
      <c r="T38" s="306"/>
      <c r="AC38" s="321"/>
      <c r="AG38" s="321"/>
      <c r="AH38" s="321"/>
      <c r="AR38" s="307"/>
      <c r="AS38" s="307"/>
      <c r="AT38" s="307"/>
      <c r="AU38" s="307"/>
      <c r="AV38" s="307"/>
      <c r="AW38" s="307"/>
      <c r="AX38" s="307"/>
      <c r="AY38" s="307"/>
      <c r="AZ38" s="307"/>
      <c r="BA38" s="334"/>
      <c r="BB38" s="307"/>
      <c r="BC38" s="307"/>
      <c r="BD38" s="307"/>
      <c r="BE38" s="307"/>
      <c r="BF38" s="334"/>
      <c r="BG38" s="307"/>
      <c r="BH38" s="307"/>
      <c r="BJ38" s="321"/>
      <c r="BK38" s="308"/>
    </row>
    <row r="39" spans="5:63" s="305" customFormat="1" ht="12.75">
      <c r="E39" s="321"/>
      <c r="F39" s="321"/>
      <c r="I39" s="321"/>
      <c r="J39" s="321"/>
      <c r="R39" s="306"/>
      <c r="T39" s="306"/>
      <c r="AC39" s="321"/>
      <c r="AG39" s="321"/>
      <c r="AH39" s="321"/>
      <c r="AR39" s="307"/>
      <c r="AS39" s="307"/>
      <c r="AT39" s="307"/>
      <c r="AU39" s="307"/>
      <c r="AV39" s="307"/>
      <c r="AW39" s="307"/>
      <c r="AX39" s="307"/>
      <c r="AY39" s="307"/>
      <c r="AZ39" s="307"/>
      <c r="BA39" s="334"/>
      <c r="BB39" s="307"/>
      <c r="BC39" s="307"/>
      <c r="BD39" s="307"/>
      <c r="BE39" s="307"/>
      <c r="BF39" s="334"/>
      <c r="BG39" s="307"/>
      <c r="BH39" s="307"/>
      <c r="BJ39" s="321"/>
      <c r="BK39" s="308"/>
    </row>
    <row r="40" spans="5:63" s="305" customFormat="1" ht="12.75">
      <c r="E40" s="321"/>
      <c r="F40" s="321"/>
      <c r="I40" s="321"/>
      <c r="J40" s="321"/>
      <c r="R40" s="306"/>
      <c r="T40" s="306"/>
      <c r="AC40" s="321"/>
      <c r="AG40" s="321"/>
      <c r="AH40" s="321"/>
      <c r="AR40" s="307"/>
      <c r="AS40" s="307"/>
      <c r="AT40" s="307"/>
      <c r="AU40" s="307"/>
      <c r="AV40" s="307"/>
      <c r="AW40" s="307"/>
      <c r="AX40" s="307"/>
      <c r="AY40" s="307"/>
      <c r="AZ40" s="307"/>
      <c r="BA40" s="334"/>
      <c r="BB40" s="307"/>
      <c r="BC40" s="307"/>
      <c r="BD40" s="307"/>
      <c r="BE40" s="307"/>
      <c r="BF40" s="334"/>
      <c r="BG40" s="307"/>
      <c r="BH40" s="307"/>
      <c r="BJ40" s="321"/>
      <c r="BK40" s="308"/>
    </row>
    <row r="41" spans="5:63" s="305" customFormat="1" ht="12.75">
      <c r="E41" s="321"/>
      <c r="F41" s="321"/>
      <c r="I41" s="321"/>
      <c r="J41" s="321"/>
      <c r="R41" s="306"/>
      <c r="T41" s="306"/>
      <c r="AC41" s="321"/>
      <c r="AG41" s="321"/>
      <c r="AH41" s="321"/>
      <c r="AR41" s="307"/>
      <c r="AS41" s="307"/>
      <c r="AT41" s="307"/>
      <c r="AU41" s="307"/>
      <c r="AV41" s="307"/>
      <c r="AW41" s="307"/>
      <c r="AX41" s="307"/>
      <c r="AY41" s="307"/>
      <c r="AZ41" s="307"/>
      <c r="BA41" s="334"/>
      <c r="BB41" s="307"/>
      <c r="BC41" s="307"/>
      <c r="BD41" s="307"/>
      <c r="BE41" s="307"/>
      <c r="BF41" s="334"/>
      <c r="BG41" s="307"/>
      <c r="BH41" s="307"/>
      <c r="BJ41" s="321"/>
      <c r="BK41" s="308"/>
    </row>
    <row r="42" spans="5:63" s="305" customFormat="1" ht="12.75">
      <c r="E42" s="321"/>
      <c r="F42" s="321"/>
      <c r="I42" s="321"/>
      <c r="J42" s="321"/>
      <c r="R42" s="306"/>
      <c r="T42" s="306"/>
      <c r="AC42" s="321"/>
      <c r="AG42" s="321"/>
      <c r="AH42" s="321"/>
      <c r="AR42" s="307"/>
      <c r="AS42" s="307"/>
      <c r="AT42" s="307"/>
      <c r="AU42" s="307"/>
      <c r="AV42" s="307"/>
      <c r="AW42" s="307"/>
      <c r="AX42" s="307"/>
      <c r="AY42" s="307"/>
      <c r="AZ42" s="307"/>
      <c r="BA42" s="334"/>
      <c r="BB42" s="307"/>
      <c r="BC42" s="307"/>
      <c r="BD42" s="307"/>
      <c r="BE42" s="307"/>
      <c r="BF42" s="334"/>
      <c r="BG42" s="307"/>
      <c r="BH42" s="307"/>
      <c r="BJ42" s="321"/>
      <c r="BK42" s="308"/>
    </row>
    <row r="43" spans="5:63" s="305" customFormat="1" ht="12.75">
      <c r="E43" s="321"/>
      <c r="F43" s="321"/>
      <c r="I43" s="321"/>
      <c r="J43" s="321"/>
      <c r="R43" s="306"/>
      <c r="T43" s="306"/>
      <c r="AC43" s="321"/>
      <c r="AG43" s="321"/>
      <c r="AH43" s="321"/>
      <c r="AR43" s="307"/>
      <c r="AS43" s="307"/>
      <c r="AT43" s="307"/>
      <c r="AU43" s="307"/>
      <c r="AV43" s="307"/>
      <c r="AW43" s="307"/>
      <c r="AX43" s="307"/>
      <c r="AY43" s="307"/>
      <c r="AZ43" s="307"/>
      <c r="BA43" s="334"/>
      <c r="BB43" s="307"/>
      <c r="BC43" s="307"/>
      <c r="BD43" s="307"/>
      <c r="BE43" s="307"/>
      <c r="BF43" s="334"/>
      <c r="BG43" s="307"/>
      <c r="BH43" s="307"/>
      <c r="BJ43" s="321"/>
      <c r="BK43" s="308"/>
    </row>
    <row r="44" spans="5:63" s="305" customFormat="1" ht="12.75">
      <c r="E44" s="321"/>
      <c r="F44" s="321"/>
      <c r="I44" s="321"/>
      <c r="J44" s="321"/>
      <c r="R44" s="306"/>
      <c r="T44" s="306"/>
      <c r="AC44" s="321"/>
      <c r="AG44" s="321"/>
      <c r="AH44" s="321"/>
      <c r="AR44" s="307"/>
      <c r="AS44" s="307"/>
      <c r="AT44" s="307"/>
      <c r="AU44" s="307"/>
      <c r="AV44" s="307"/>
      <c r="AW44" s="307"/>
      <c r="AX44" s="307"/>
      <c r="AY44" s="307"/>
      <c r="AZ44" s="307"/>
      <c r="BA44" s="334"/>
      <c r="BB44" s="307"/>
      <c r="BC44" s="307"/>
      <c r="BD44" s="307"/>
      <c r="BE44" s="307"/>
      <c r="BF44" s="334"/>
      <c r="BG44" s="307"/>
      <c r="BH44" s="307"/>
      <c r="BJ44" s="321"/>
      <c r="BK44" s="308"/>
    </row>
    <row r="45" spans="5:63" s="305" customFormat="1" ht="12.75">
      <c r="E45" s="321"/>
      <c r="F45" s="321"/>
      <c r="I45" s="321"/>
      <c r="J45" s="321"/>
      <c r="R45" s="306"/>
      <c r="T45" s="306"/>
      <c r="AC45" s="321"/>
      <c r="AG45" s="321"/>
      <c r="AH45" s="321"/>
      <c r="AR45" s="307"/>
      <c r="AS45" s="307"/>
      <c r="AT45" s="307"/>
      <c r="AU45" s="307"/>
      <c r="AV45" s="307"/>
      <c r="AW45" s="307"/>
      <c r="AX45" s="307"/>
      <c r="AY45" s="307"/>
      <c r="AZ45" s="307"/>
      <c r="BA45" s="334"/>
      <c r="BB45" s="307"/>
      <c r="BC45" s="307"/>
      <c r="BD45" s="307"/>
      <c r="BE45" s="307"/>
      <c r="BF45" s="334"/>
      <c r="BG45" s="307"/>
      <c r="BH45" s="307"/>
      <c r="BJ45" s="321"/>
      <c r="BK45" s="308"/>
    </row>
    <row r="46" spans="5:63" s="305" customFormat="1" ht="12.75">
      <c r="E46" s="321"/>
      <c r="F46" s="321"/>
      <c r="I46" s="321"/>
      <c r="J46" s="321"/>
      <c r="R46" s="306"/>
      <c r="T46" s="306"/>
      <c r="AC46" s="321"/>
      <c r="AG46" s="321"/>
      <c r="AH46" s="321"/>
      <c r="AR46" s="307"/>
      <c r="AS46" s="307"/>
      <c r="AT46" s="307"/>
      <c r="AU46" s="307"/>
      <c r="AV46" s="307"/>
      <c r="AW46" s="307"/>
      <c r="AX46" s="307"/>
      <c r="AY46" s="307"/>
      <c r="AZ46" s="307"/>
      <c r="BA46" s="334"/>
      <c r="BB46" s="307"/>
      <c r="BC46" s="307"/>
      <c r="BD46" s="307"/>
      <c r="BE46" s="307"/>
      <c r="BF46" s="334"/>
      <c r="BG46" s="307"/>
      <c r="BH46" s="307"/>
      <c r="BJ46" s="321"/>
      <c r="BK46" s="308"/>
    </row>
    <row r="47" spans="5:63" s="305" customFormat="1" ht="12.75">
      <c r="E47" s="321"/>
      <c r="F47" s="321"/>
      <c r="I47" s="321"/>
      <c r="J47" s="321"/>
      <c r="R47" s="306"/>
      <c r="T47" s="306"/>
      <c r="AC47" s="321"/>
      <c r="AG47" s="321"/>
      <c r="AH47" s="321"/>
      <c r="AR47" s="307"/>
      <c r="AS47" s="307"/>
      <c r="AT47" s="307"/>
      <c r="AU47" s="307"/>
      <c r="AV47" s="307"/>
      <c r="AW47" s="307"/>
      <c r="AX47" s="307"/>
      <c r="AY47" s="307"/>
      <c r="AZ47" s="307"/>
      <c r="BA47" s="334"/>
      <c r="BB47" s="307"/>
      <c r="BC47" s="307"/>
      <c r="BD47" s="307"/>
      <c r="BE47" s="307"/>
      <c r="BF47" s="334"/>
      <c r="BG47" s="307"/>
      <c r="BH47" s="307"/>
      <c r="BJ47" s="321"/>
      <c r="BK47" s="308"/>
    </row>
    <row r="48" spans="5:63" s="305" customFormat="1" ht="12.75">
      <c r="E48" s="321"/>
      <c r="F48" s="321"/>
      <c r="I48" s="321"/>
      <c r="J48" s="321"/>
      <c r="R48" s="306"/>
      <c r="T48" s="306"/>
      <c r="AC48" s="321"/>
      <c r="AG48" s="321"/>
      <c r="AH48" s="321"/>
      <c r="AR48" s="307"/>
      <c r="AS48" s="307"/>
      <c r="AT48" s="307"/>
      <c r="AU48" s="307"/>
      <c r="AV48" s="307"/>
      <c r="AW48" s="307"/>
      <c r="AX48" s="307"/>
      <c r="AY48" s="307"/>
      <c r="AZ48" s="307"/>
      <c r="BA48" s="334"/>
      <c r="BB48" s="307"/>
      <c r="BC48" s="307"/>
      <c r="BD48" s="307"/>
      <c r="BE48" s="307"/>
      <c r="BF48" s="334"/>
      <c r="BG48" s="307"/>
      <c r="BH48" s="307"/>
      <c r="BJ48" s="321"/>
      <c r="BK48" s="308"/>
    </row>
    <row r="49" spans="5:63" s="305" customFormat="1" ht="12.75">
      <c r="E49" s="321"/>
      <c r="F49" s="321"/>
      <c r="I49" s="321"/>
      <c r="J49" s="321"/>
      <c r="R49" s="306"/>
      <c r="T49" s="306"/>
      <c r="AC49" s="321"/>
      <c r="AG49" s="321"/>
      <c r="AH49" s="321"/>
      <c r="AR49" s="307"/>
      <c r="AS49" s="307"/>
      <c r="AT49" s="307"/>
      <c r="AU49" s="307"/>
      <c r="AV49" s="307"/>
      <c r="AW49" s="307"/>
      <c r="AX49" s="307"/>
      <c r="AY49" s="307"/>
      <c r="AZ49" s="307"/>
      <c r="BA49" s="334"/>
      <c r="BB49" s="307"/>
      <c r="BC49" s="307"/>
      <c r="BD49" s="307"/>
      <c r="BE49" s="307"/>
      <c r="BF49" s="334"/>
      <c r="BG49" s="307"/>
      <c r="BH49" s="307"/>
      <c r="BJ49" s="321"/>
      <c r="BK49" s="308"/>
    </row>
    <row r="50" spans="5:63" s="305" customFormat="1" ht="12.75">
      <c r="E50" s="321"/>
      <c r="F50" s="321"/>
      <c r="I50" s="321"/>
      <c r="J50" s="321"/>
      <c r="R50" s="306"/>
      <c r="T50" s="306"/>
      <c r="AC50" s="321"/>
      <c r="AG50" s="321"/>
      <c r="AH50" s="321"/>
      <c r="AR50" s="307"/>
      <c r="AS50" s="307"/>
      <c r="AT50" s="307"/>
      <c r="AU50" s="307"/>
      <c r="AV50" s="307"/>
      <c r="AW50" s="307"/>
      <c r="AX50" s="307"/>
      <c r="AY50" s="307"/>
      <c r="AZ50" s="307"/>
      <c r="BA50" s="334"/>
      <c r="BB50" s="307"/>
      <c r="BC50" s="307"/>
      <c r="BD50" s="307"/>
      <c r="BE50" s="307"/>
      <c r="BF50" s="334"/>
      <c r="BG50" s="307"/>
      <c r="BH50" s="307"/>
      <c r="BJ50" s="321"/>
      <c r="BK50" s="308"/>
    </row>
    <row r="51" spans="5:63" s="305" customFormat="1" ht="12.75">
      <c r="E51" s="321"/>
      <c r="F51" s="321"/>
      <c r="I51" s="321"/>
      <c r="J51" s="321"/>
      <c r="R51" s="306"/>
      <c r="T51" s="306"/>
      <c r="AC51" s="321"/>
      <c r="AG51" s="321"/>
      <c r="AH51" s="321"/>
      <c r="AR51" s="307"/>
      <c r="AS51" s="307"/>
      <c r="AT51" s="307"/>
      <c r="AU51" s="307"/>
      <c r="AV51" s="307"/>
      <c r="AW51" s="307"/>
      <c r="AX51" s="307"/>
      <c r="AY51" s="307"/>
      <c r="AZ51" s="307"/>
      <c r="BA51" s="334"/>
      <c r="BB51" s="307"/>
      <c r="BC51" s="307"/>
      <c r="BD51" s="307"/>
      <c r="BE51" s="307"/>
      <c r="BF51" s="334"/>
      <c r="BG51" s="307"/>
      <c r="BH51" s="307"/>
      <c r="BJ51" s="321"/>
      <c r="BK51" s="308"/>
    </row>
    <row r="52" spans="5:63" s="310" customFormat="1" ht="12.75">
      <c r="E52" s="322"/>
      <c r="F52" s="322"/>
      <c r="I52" s="322"/>
      <c r="J52" s="322"/>
      <c r="R52" s="309"/>
      <c r="T52" s="309"/>
      <c r="AC52" s="322"/>
      <c r="AG52" s="322"/>
      <c r="AH52" s="322"/>
      <c r="AR52" s="311"/>
      <c r="AS52" s="311"/>
      <c r="AT52" s="311"/>
      <c r="AU52" s="311"/>
      <c r="AV52" s="311"/>
      <c r="AW52" s="311"/>
      <c r="AX52" s="311"/>
      <c r="AY52" s="311"/>
      <c r="AZ52" s="311"/>
      <c r="BA52" s="335"/>
      <c r="BB52" s="311"/>
      <c r="BC52" s="311"/>
      <c r="BD52" s="311"/>
      <c r="BE52" s="311"/>
      <c r="BF52" s="335"/>
      <c r="BG52" s="311"/>
      <c r="BH52" s="311"/>
      <c r="BJ52" s="322"/>
      <c r="BK52" s="312"/>
    </row>
    <row r="53" spans="5:63" s="310" customFormat="1" ht="12.75">
      <c r="E53" s="322"/>
      <c r="F53" s="322"/>
      <c r="I53" s="322"/>
      <c r="J53" s="322"/>
      <c r="R53" s="309"/>
      <c r="T53" s="309"/>
      <c r="AC53" s="322"/>
      <c r="AG53" s="322"/>
      <c r="AH53" s="322"/>
      <c r="AR53" s="311"/>
      <c r="AS53" s="311"/>
      <c r="AT53" s="311"/>
      <c r="AU53" s="311"/>
      <c r="AV53" s="311"/>
      <c r="AW53" s="311"/>
      <c r="AX53" s="311"/>
      <c r="AY53" s="311"/>
      <c r="AZ53" s="311"/>
      <c r="BA53" s="335"/>
      <c r="BB53" s="311"/>
      <c r="BC53" s="311"/>
      <c r="BD53" s="311"/>
      <c r="BE53" s="311"/>
      <c r="BF53" s="335"/>
      <c r="BG53" s="311"/>
      <c r="BH53" s="311"/>
      <c r="BJ53" s="322"/>
      <c r="BK53" s="312"/>
    </row>
    <row r="54" spans="5:63" s="310" customFormat="1" ht="12.75">
      <c r="E54" s="322"/>
      <c r="F54" s="322"/>
      <c r="I54" s="322"/>
      <c r="J54" s="322"/>
      <c r="R54" s="309"/>
      <c r="T54" s="309"/>
      <c r="AC54" s="322"/>
      <c r="AG54" s="322"/>
      <c r="AH54" s="322"/>
      <c r="AR54" s="311"/>
      <c r="AS54" s="311"/>
      <c r="AT54" s="311"/>
      <c r="AU54" s="311"/>
      <c r="AV54" s="311"/>
      <c r="AW54" s="311"/>
      <c r="AX54" s="311"/>
      <c r="AY54" s="311"/>
      <c r="AZ54" s="311"/>
      <c r="BA54" s="335"/>
      <c r="BB54" s="311"/>
      <c r="BC54" s="311"/>
      <c r="BD54" s="311"/>
      <c r="BE54" s="311"/>
      <c r="BF54" s="335"/>
      <c r="BG54" s="311"/>
      <c r="BH54" s="311"/>
      <c r="BJ54" s="322"/>
      <c r="BK54" s="312"/>
    </row>
    <row r="55" spans="5:63" s="310" customFormat="1" ht="12.75">
      <c r="E55" s="322"/>
      <c r="F55" s="322"/>
      <c r="I55" s="322"/>
      <c r="J55" s="322"/>
      <c r="R55" s="309"/>
      <c r="T55" s="309"/>
      <c r="AC55" s="322"/>
      <c r="AG55" s="322"/>
      <c r="AH55" s="322"/>
      <c r="AR55" s="311"/>
      <c r="AS55" s="311"/>
      <c r="AT55" s="311"/>
      <c r="AU55" s="311"/>
      <c r="AV55" s="311"/>
      <c r="AW55" s="311"/>
      <c r="AX55" s="311"/>
      <c r="AY55" s="311"/>
      <c r="AZ55" s="311"/>
      <c r="BA55" s="335"/>
      <c r="BB55" s="311"/>
      <c r="BC55" s="311"/>
      <c r="BD55" s="311"/>
      <c r="BE55" s="311"/>
      <c r="BF55" s="335"/>
      <c r="BG55" s="311"/>
      <c r="BH55" s="311"/>
      <c r="BJ55" s="322"/>
      <c r="BK55" s="312"/>
    </row>
    <row r="56" spans="5:63" s="310" customFormat="1" ht="12.75">
      <c r="E56" s="322"/>
      <c r="F56" s="322"/>
      <c r="I56" s="322"/>
      <c r="J56" s="322"/>
      <c r="R56" s="309"/>
      <c r="T56" s="309"/>
      <c r="AC56" s="322"/>
      <c r="AG56" s="322"/>
      <c r="AH56" s="322"/>
      <c r="AR56" s="311"/>
      <c r="AS56" s="311"/>
      <c r="AT56" s="311"/>
      <c r="AU56" s="311"/>
      <c r="AV56" s="311"/>
      <c r="AW56" s="311"/>
      <c r="AX56" s="311"/>
      <c r="AY56" s="311"/>
      <c r="AZ56" s="311"/>
      <c r="BA56" s="335"/>
      <c r="BB56" s="311"/>
      <c r="BC56" s="311"/>
      <c r="BD56" s="311"/>
      <c r="BE56" s="311"/>
      <c r="BF56" s="335"/>
      <c r="BG56" s="311"/>
      <c r="BH56" s="311"/>
      <c r="BJ56" s="322"/>
      <c r="BK56" s="312"/>
    </row>
    <row r="57" spans="5:63" s="310" customFormat="1" ht="12.75">
      <c r="E57" s="322"/>
      <c r="F57" s="322"/>
      <c r="I57" s="322"/>
      <c r="J57" s="322"/>
      <c r="R57" s="309"/>
      <c r="T57" s="309"/>
      <c r="AC57" s="322"/>
      <c r="AG57" s="322"/>
      <c r="AH57" s="322"/>
      <c r="AR57" s="311"/>
      <c r="AS57" s="311"/>
      <c r="AT57" s="311"/>
      <c r="AU57" s="311"/>
      <c r="AV57" s="311"/>
      <c r="AW57" s="311"/>
      <c r="AX57" s="311"/>
      <c r="AY57" s="311"/>
      <c r="AZ57" s="311"/>
      <c r="BA57" s="335"/>
      <c r="BB57" s="311"/>
      <c r="BC57" s="311"/>
      <c r="BD57" s="311"/>
      <c r="BE57" s="311"/>
      <c r="BF57" s="335"/>
      <c r="BG57" s="311"/>
      <c r="BH57" s="311"/>
      <c r="BJ57" s="322"/>
      <c r="BK57" s="312"/>
    </row>
    <row r="58" spans="5:63" s="310" customFormat="1" ht="12.75">
      <c r="E58" s="322"/>
      <c r="F58" s="322"/>
      <c r="I58" s="322"/>
      <c r="J58" s="322"/>
      <c r="R58" s="309"/>
      <c r="T58" s="309"/>
      <c r="AC58" s="322"/>
      <c r="AG58" s="322"/>
      <c r="AH58" s="322"/>
      <c r="AR58" s="311"/>
      <c r="AS58" s="311"/>
      <c r="AT58" s="311"/>
      <c r="AU58" s="311"/>
      <c r="AV58" s="311"/>
      <c r="AW58" s="311"/>
      <c r="AX58" s="311"/>
      <c r="AY58" s="311"/>
      <c r="AZ58" s="311"/>
      <c r="BA58" s="335"/>
      <c r="BB58" s="311"/>
      <c r="BC58" s="311"/>
      <c r="BD58" s="311"/>
      <c r="BE58" s="311"/>
      <c r="BF58" s="335"/>
      <c r="BG58" s="311"/>
      <c r="BH58" s="311"/>
      <c r="BJ58" s="322"/>
      <c r="BK58" s="312"/>
    </row>
    <row r="59" spans="5:63" s="310" customFormat="1" ht="12.75">
      <c r="E59" s="322"/>
      <c r="F59" s="322"/>
      <c r="I59" s="322"/>
      <c r="J59" s="322"/>
      <c r="R59" s="309"/>
      <c r="T59" s="309"/>
      <c r="AC59" s="322"/>
      <c r="AG59" s="322"/>
      <c r="AH59" s="322"/>
      <c r="AR59" s="311"/>
      <c r="AS59" s="311"/>
      <c r="AT59" s="311"/>
      <c r="AU59" s="311"/>
      <c r="AV59" s="311"/>
      <c r="AW59" s="311"/>
      <c r="AX59" s="311"/>
      <c r="AY59" s="311"/>
      <c r="AZ59" s="311"/>
      <c r="BA59" s="335"/>
      <c r="BB59" s="311"/>
      <c r="BC59" s="311"/>
      <c r="BD59" s="311"/>
      <c r="BE59" s="311"/>
      <c r="BF59" s="335"/>
      <c r="BG59" s="311"/>
      <c r="BH59" s="311"/>
      <c r="BJ59" s="322"/>
      <c r="BK59" s="312"/>
    </row>
    <row r="60" spans="5:63" s="310" customFormat="1" ht="12.75">
      <c r="E60" s="322"/>
      <c r="F60" s="322"/>
      <c r="I60" s="322"/>
      <c r="J60" s="322"/>
      <c r="R60" s="309"/>
      <c r="T60" s="309"/>
      <c r="AC60" s="322"/>
      <c r="AG60" s="322"/>
      <c r="AH60" s="322"/>
      <c r="AR60" s="311"/>
      <c r="AS60" s="311"/>
      <c r="AT60" s="311"/>
      <c r="AU60" s="311"/>
      <c r="AV60" s="311"/>
      <c r="AW60" s="311"/>
      <c r="AX60" s="311"/>
      <c r="AY60" s="311"/>
      <c r="AZ60" s="311"/>
      <c r="BA60" s="335"/>
      <c r="BB60" s="311"/>
      <c r="BC60" s="311"/>
      <c r="BD60" s="311"/>
      <c r="BE60" s="311"/>
      <c r="BF60" s="335"/>
      <c r="BG60" s="311"/>
      <c r="BH60" s="311"/>
      <c r="BJ60" s="322"/>
      <c r="BK60" s="312"/>
    </row>
    <row r="61" spans="5:63" s="310" customFormat="1" ht="12.75">
      <c r="E61" s="322"/>
      <c r="F61" s="322"/>
      <c r="I61" s="322"/>
      <c r="J61" s="322"/>
      <c r="R61" s="309"/>
      <c r="T61" s="309"/>
      <c r="AC61" s="322"/>
      <c r="AG61" s="322"/>
      <c r="AH61" s="322"/>
      <c r="AR61" s="311"/>
      <c r="AS61" s="311"/>
      <c r="AT61" s="311"/>
      <c r="AU61" s="311"/>
      <c r="AV61" s="311"/>
      <c r="AW61" s="311"/>
      <c r="AX61" s="311"/>
      <c r="AY61" s="311"/>
      <c r="AZ61" s="311"/>
      <c r="BA61" s="335"/>
      <c r="BB61" s="311"/>
      <c r="BC61" s="311"/>
      <c r="BD61" s="311"/>
      <c r="BE61" s="311"/>
      <c r="BF61" s="335"/>
      <c r="BG61" s="311"/>
      <c r="BH61" s="311"/>
      <c r="BJ61" s="322"/>
      <c r="BK61" s="312"/>
    </row>
  </sheetData>
  <sheetProtection/>
  <mergeCells count="6">
    <mergeCell ref="AI2:BJ2"/>
    <mergeCell ref="B2:F2"/>
    <mergeCell ref="A2:A3"/>
    <mergeCell ref="G2:J2"/>
    <mergeCell ref="K2:AH2"/>
    <mergeCell ref="A1:BJ1"/>
  </mergeCells>
  <printOptions/>
  <pageMargins left="0.15748031496062992" right="0.15748031496062992" top="0.15748031496062992" bottom="0.11811023622047245" header="0.1574803149606299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9">
      <selection activeCell="P32" sqref="P32"/>
    </sheetView>
  </sheetViews>
  <sheetFormatPr defaultColWidth="9.140625" defaultRowHeight="12.75"/>
  <cols>
    <col min="1" max="2" width="9.140625" style="1" customWidth="1"/>
    <col min="3" max="3" width="14.8515625" style="1" customWidth="1"/>
    <col min="4" max="4" width="0" style="1" hidden="1" customWidth="1"/>
    <col min="5" max="5" width="8.8515625" style="1" customWidth="1"/>
    <col min="6" max="6" width="7.7109375" style="1" hidden="1" customWidth="1"/>
    <col min="7" max="7" width="10.7109375" style="1" hidden="1" customWidth="1"/>
    <col min="8" max="8" width="10.28125" style="1" hidden="1" customWidth="1"/>
    <col min="9" max="9" width="10.28125" style="1" customWidth="1"/>
    <col min="10" max="10" width="14.57421875" style="10" customWidth="1"/>
    <col min="11" max="11" width="11.7109375" style="1" customWidth="1"/>
    <col min="12" max="12" width="12.140625" style="1" customWidth="1"/>
    <col min="13" max="13" width="10.8515625" style="1" customWidth="1"/>
    <col min="14" max="16384" width="9.140625" style="1" customWidth="1"/>
  </cols>
  <sheetData>
    <row r="1" spans="1:12" ht="15.75" customHeight="1">
      <c r="A1" s="763" t="s">
        <v>22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</row>
    <row r="2" spans="4:6" ht="12.75">
      <c r="D2" s="29"/>
      <c r="E2" s="29"/>
      <c r="F2" s="29"/>
    </row>
    <row r="3" spans="1:12" ht="30" customHeight="1" thickBot="1">
      <c r="A3" s="764" t="s">
        <v>173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</row>
    <row r="4" spans="1:13" ht="15" customHeight="1" thickBot="1">
      <c r="A4" s="765" t="s">
        <v>23</v>
      </c>
      <c r="B4" s="766"/>
      <c r="C4" s="767"/>
      <c r="D4" s="771" t="s">
        <v>24</v>
      </c>
      <c r="E4" s="754" t="s">
        <v>164</v>
      </c>
      <c r="F4" s="773" t="s">
        <v>91</v>
      </c>
      <c r="G4" s="758" t="s">
        <v>25</v>
      </c>
      <c r="H4" s="756" t="s">
        <v>48</v>
      </c>
      <c r="I4" s="756" t="s">
        <v>172</v>
      </c>
      <c r="J4" s="775" t="s">
        <v>227</v>
      </c>
      <c r="K4" s="776"/>
      <c r="L4" s="752" t="s">
        <v>226</v>
      </c>
      <c r="M4" s="750" t="s">
        <v>163</v>
      </c>
    </row>
    <row r="5" spans="1:13" ht="55.5" customHeight="1" thickBot="1">
      <c r="A5" s="768"/>
      <c r="B5" s="769"/>
      <c r="C5" s="770"/>
      <c r="D5" s="772"/>
      <c r="E5" s="755"/>
      <c r="F5" s="774"/>
      <c r="G5" s="759"/>
      <c r="H5" s="757"/>
      <c r="I5" s="757"/>
      <c r="J5" s="30" t="s">
        <v>169</v>
      </c>
      <c r="K5" s="31" t="s">
        <v>95</v>
      </c>
      <c r="L5" s="753"/>
      <c r="M5" s="751"/>
    </row>
    <row r="6" spans="1:13" ht="32.25" customHeight="1" thickBot="1">
      <c r="A6" s="741" t="s">
        <v>20</v>
      </c>
      <c r="B6" s="742"/>
      <c r="C6" s="743"/>
      <c r="D6" s="32"/>
      <c r="E6" s="146"/>
      <c r="F6" s="147"/>
      <c r="G6" s="140"/>
      <c r="H6" s="140"/>
      <c r="I6" s="148">
        <f>(I7+I8)</f>
        <v>1688.1999999999998</v>
      </c>
      <c r="J6" s="149">
        <f>SUM(J7:J8)</f>
        <v>499597.8</v>
      </c>
      <c r="K6" s="149">
        <f>SUM(K7:K8)</f>
        <v>499293</v>
      </c>
      <c r="L6" s="150">
        <f>SUM(L7:L8)</f>
        <v>-1992.9999999999882</v>
      </c>
      <c r="M6" s="152"/>
    </row>
    <row r="7" spans="1:13" ht="23.25" customHeight="1" thickBot="1">
      <c r="A7" s="760" t="s">
        <v>83</v>
      </c>
      <c r="B7" s="761"/>
      <c r="C7" s="762"/>
      <c r="D7" s="33"/>
      <c r="E7" s="34"/>
      <c r="F7" s="35"/>
      <c r="G7" s="36"/>
      <c r="H7" s="36"/>
      <c r="I7" s="37">
        <v>0</v>
      </c>
      <c r="J7" s="36">
        <f>'hoaki dram18'!D30</f>
        <v>3967.4</v>
      </c>
      <c r="K7" s="36">
        <f>'hoaki past18'!H28</f>
        <v>3967.4</v>
      </c>
      <c r="L7" s="141">
        <f>SUM(K7-J7)</f>
        <v>0</v>
      </c>
      <c r="M7" s="145"/>
    </row>
    <row r="8" spans="1:13" ht="23.25" customHeight="1" thickBot="1">
      <c r="A8" s="760" t="s">
        <v>84</v>
      </c>
      <c r="B8" s="761"/>
      <c r="C8" s="762"/>
      <c r="D8" s="33"/>
      <c r="E8" s="34"/>
      <c r="F8" s="35"/>
      <c r="G8" s="36"/>
      <c r="H8" s="36"/>
      <c r="I8" s="37">
        <f>'hoaki past18'!F28</f>
        <v>1688.1999999999998</v>
      </c>
      <c r="J8" s="36">
        <f>'hoaki dram18'!E30</f>
        <v>495630.39999999997</v>
      </c>
      <c r="K8" s="38">
        <f>'hoaki past18'!I28</f>
        <v>495325.6</v>
      </c>
      <c r="L8" s="141">
        <f>SUM(K8-J8-I8)</f>
        <v>-1992.9999999999882</v>
      </c>
      <c r="M8" s="153"/>
    </row>
    <row r="9" spans="1:13" ht="18.75" thickBot="1">
      <c r="A9" s="744" t="s">
        <v>20</v>
      </c>
      <c r="B9" s="745"/>
      <c r="C9" s="746"/>
      <c r="D9" s="39"/>
      <c r="E9" s="40"/>
      <c r="F9" s="41" t="s">
        <v>92</v>
      </c>
      <c r="G9" s="42" t="e">
        <f>SUM(G10,G29,-#REF!)</f>
        <v>#REF!</v>
      </c>
      <c r="H9" s="42" t="e">
        <f>SUM(H10,H29,-#REF!)</f>
        <v>#REF!</v>
      </c>
      <c r="I9" s="43">
        <f>(I10+I29)</f>
        <v>1688.1999999999998</v>
      </c>
      <c r="J9" s="42">
        <f>SUM(J10+J29)</f>
        <v>499558.9999999999</v>
      </c>
      <c r="K9" s="44">
        <f>SUM(K10+K29+K33)</f>
        <v>499292.9999999999</v>
      </c>
      <c r="L9" s="43">
        <f>(L10+L29)</f>
        <v>-1954.199999999997</v>
      </c>
      <c r="M9" s="154"/>
    </row>
    <row r="10" spans="1:13" ht="19.5" customHeight="1" thickBot="1">
      <c r="A10" s="747" t="s">
        <v>26</v>
      </c>
      <c r="B10" s="748"/>
      <c r="C10" s="749"/>
      <c r="D10" s="39"/>
      <c r="E10" s="40"/>
      <c r="F10" s="45"/>
      <c r="G10" s="46">
        <f>SUM(G11:G28)</f>
        <v>428673.99999999994</v>
      </c>
      <c r="H10" s="46">
        <f>SUM(H11:H28)</f>
        <v>428673.99999999994</v>
      </c>
      <c r="I10" s="46">
        <f>I11+I12+I13+I14+I15+I16+I17+I18+I19+I20+I21+I22+I23+I24+I25+I26+I27+I28</f>
        <v>1688.1999999999998</v>
      </c>
      <c r="J10" s="46">
        <f>J11+J12+J13+J14+J15+J16+J17+J18+J19+J20+J21+J22+J23+J24+J25+J26+J27+J28</f>
        <v>497553.9999999999</v>
      </c>
      <c r="K10" s="46">
        <f>K11+K12+K13+K14+K15+K16+K17+K18+K19+K20+K21+K22+K23+K24+K25+K26+K27+K28</f>
        <v>497287.9999999999</v>
      </c>
      <c r="L10" s="46">
        <f>L11+L12+L13+L14+L15+L16+L17+L18+L19+L20+L21+L22+L23+L24+L25+L26+L27+L28</f>
        <v>-1954.199999999997</v>
      </c>
      <c r="M10" s="154"/>
    </row>
    <row r="11" spans="1:13" ht="18.75" customHeight="1">
      <c r="A11" s="729" t="s">
        <v>27</v>
      </c>
      <c r="B11" s="730"/>
      <c r="C11" s="731"/>
      <c r="D11" s="8" t="s">
        <v>17</v>
      </c>
      <c r="E11" s="47" t="s">
        <v>3</v>
      </c>
      <c r="F11" s="48"/>
      <c r="G11" s="49">
        <v>276414.3</v>
      </c>
      <c r="H11" s="50">
        <v>276414.3</v>
      </c>
      <c r="I11" s="50">
        <v>0</v>
      </c>
      <c r="J11" s="49">
        <f>'hoaki dram18'!G30</f>
        <v>371871.1999999999</v>
      </c>
      <c r="K11" s="50">
        <f>'hoaki past18'!K28</f>
        <v>371871.1999999999</v>
      </c>
      <c r="L11" s="142">
        <f>SUM(K11-J11-I11)</f>
        <v>0</v>
      </c>
      <c r="M11" s="151" t="s">
        <v>16</v>
      </c>
    </row>
    <row r="12" spans="1:13" ht="18.75" customHeight="1">
      <c r="A12" s="738" t="s">
        <v>60</v>
      </c>
      <c r="B12" s="739"/>
      <c r="C12" s="740"/>
      <c r="D12" s="51" t="s">
        <v>35</v>
      </c>
      <c r="E12" s="52" t="s">
        <v>4</v>
      </c>
      <c r="F12" s="53" t="s">
        <v>88</v>
      </c>
      <c r="G12" s="54">
        <v>35634.2</v>
      </c>
      <c r="H12" s="55">
        <v>35634.2</v>
      </c>
      <c r="I12" s="55">
        <f>'hoaki past18'!B28</f>
        <v>1657.6999999999998</v>
      </c>
      <c r="J12" s="54">
        <f>'hoaki dram18'!H30</f>
        <v>36911.2</v>
      </c>
      <c r="K12" s="55">
        <f>'hoaki past18'!L28</f>
        <v>36650.5</v>
      </c>
      <c r="L12" s="142">
        <f aca="true" t="shared" si="0" ref="L12:L28">SUM(K12-J12-I12)</f>
        <v>-1918.399999999997</v>
      </c>
      <c r="M12" s="145"/>
    </row>
    <row r="13" spans="1:13" ht="18.75" customHeight="1">
      <c r="A13" s="738" t="s">
        <v>61</v>
      </c>
      <c r="B13" s="739"/>
      <c r="C13" s="740"/>
      <c r="D13" s="51"/>
      <c r="E13" s="52" t="s">
        <v>5</v>
      </c>
      <c r="F13" s="53" t="s">
        <v>89</v>
      </c>
      <c r="G13" s="54">
        <v>12642.7</v>
      </c>
      <c r="H13" s="55">
        <v>12642.7</v>
      </c>
      <c r="I13" s="55">
        <f>'hoaki past18'!C28</f>
        <v>30.099999999999998</v>
      </c>
      <c r="J13" s="54">
        <f>'hoaki dram18'!I30</f>
        <v>3121.8999999999996</v>
      </c>
      <c r="K13" s="55">
        <f>'hoaki past18'!M28</f>
        <v>3116.2</v>
      </c>
      <c r="L13" s="142">
        <f t="shared" si="0"/>
        <v>-35.79999999999981</v>
      </c>
      <c r="M13" s="145"/>
    </row>
    <row r="14" spans="1:13" ht="18.75" customHeight="1">
      <c r="A14" s="726" t="s">
        <v>33</v>
      </c>
      <c r="B14" s="727"/>
      <c r="C14" s="728"/>
      <c r="D14" s="51" t="s">
        <v>34</v>
      </c>
      <c r="E14" s="52" t="s">
        <v>6</v>
      </c>
      <c r="F14" s="53" t="s">
        <v>90</v>
      </c>
      <c r="G14" s="54">
        <v>5710</v>
      </c>
      <c r="H14" s="55">
        <v>5710</v>
      </c>
      <c r="I14" s="55">
        <f>'hoaki past18'!D28</f>
        <v>0.4</v>
      </c>
      <c r="J14" s="54">
        <f>'hoaki dram18'!J30</f>
        <v>2158.6000000000004</v>
      </c>
      <c r="K14" s="55">
        <f>'hoaki past18'!N28</f>
        <v>2159</v>
      </c>
      <c r="L14" s="142">
        <f t="shared" si="0"/>
        <v>-3.638200851696638E-13</v>
      </c>
      <c r="M14" s="145"/>
    </row>
    <row r="15" spans="1:13" ht="18.75" customHeight="1">
      <c r="A15" s="720" t="s">
        <v>76</v>
      </c>
      <c r="B15" s="721"/>
      <c r="C15" s="722"/>
      <c r="D15" s="51"/>
      <c r="E15" s="52" t="s">
        <v>77</v>
      </c>
      <c r="F15" s="53"/>
      <c r="G15" s="54"/>
      <c r="H15" s="55"/>
      <c r="I15" s="55"/>
      <c r="J15" s="54">
        <f>'hoaki dram18'!K30</f>
        <v>18</v>
      </c>
      <c r="K15" s="55">
        <f>'hoaki past18'!O28</f>
        <v>18</v>
      </c>
      <c r="L15" s="142">
        <f t="shared" si="0"/>
        <v>0</v>
      </c>
      <c r="M15" s="145"/>
    </row>
    <row r="16" spans="1:13" ht="18.75" customHeight="1">
      <c r="A16" s="726" t="s">
        <v>30</v>
      </c>
      <c r="B16" s="727"/>
      <c r="C16" s="728"/>
      <c r="D16" s="51" t="s">
        <v>31</v>
      </c>
      <c r="E16" s="52" t="s">
        <v>7</v>
      </c>
      <c r="F16" s="53"/>
      <c r="G16" s="54">
        <v>4416.1</v>
      </c>
      <c r="H16" s="55">
        <v>4416.1</v>
      </c>
      <c r="I16" s="55"/>
      <c r="J16" s="54">
        <f>'hoaki dram18'!L30</f>
        <v>4018.7999999999997</v>
      </c>
      <c r="K16" s="55">
        <f>'hoaki past18'!P28</f>
        <v>4018.7999999999997</v>
      </c>
      <c r="L16" s="142">
        <f t="shared" si="0"/>
        <v>0</v>
      </c>
      <c r="M16" s="145"/>
    </row>
    <row r="17" spans="1:13" ht="18.75" customHeight="1">
      <c r="A17" s="720" t="s">
        <v>63</v>
      </c>
      <c r="B17" s="721"/>
      <c r="C17" s="722"/>
      <c r="D17" s="51"/>
      <c r="E17" s="52" t="s">
        <v>9</v>
      </c>
      <c r="F17" s="53"/>
      <c r="G17" s="54">
        <v>2811.1</v>
      </c>
      <c r="H17" s="55">
        <v>2811.1</v>
      </c>
      <c r="I17" s="55"/>
      <c r="J17" s="54">
        <f>'hoaki dram18'!M30</f>
        <v>124</v>
      </c>
      <c r="K17" s="55">
        <f>'hoaki past18'!Q28</f>
        <v>124</v>
      </c>
      <c r="L17" s="142">
        <f t="shared" si="0"/>
        <v>0</v>
      </c>
      <c r="M17" s="145"/>
    </row>
    <row r="18" spans="1:13" ht="18.75" customHeight="1">
      <c r="A18" s="726" t="s">
        <v>150</v>
      </c>
      <c r="B18" s="727"/>
      <c r="C18" s="728"/>
      <c r="D18" s="51" t="s">
        <v>40</v>
      </c>
      <c r="E18" s="52" t="s">
        <v>11</v>
      </c>
      <c r="F18" s="53"/>
      <c r="G18" s="54">
        <v>10384.7</v>
      </c>
      <c r="H18" s="55">
        <v>10384.7</v>
      </c>
      <c r="I18" s="55"/>
      <c r="J18" s="54">
        <f>'hoaki dram18'!N30</f>
        <v>63</v>
      </c>
      <c r="K18" s="55">
        <f>'hoaki past18'!R28</f>
        <v>63</v>
      </c>
      <c r="L18" s="142">
        <f t="shared" si="0"/>
        <v>0</v>
      </c>
      <c r="M18" s="145"/>
    </row>
    <row r="19" spans="1:13" ht="18.75" customHeight="1">
      <c r="A19" s="720" t="s">
        <v>64</v>
      </c>
      <c r="B19" s="721"/>
      <c r="C19" s="722"/>
      <c r="D19" s="51"/>
      <c r="E19" s="52" t="s">
        <v>12</v>
      </c>
      <c r="F19" s="53"/>
      <c r="G19" s="54">
        <v>5663.8</v>
      </c>
      <c r="H19" s="55">
        <v>5663.8</v>
      </c>
      <c r="I19" s="55"/>
      <c r="J19" s="54">
        <f>'hoaki dram18'!O30</f>
        <v>3608.5000000000005</v>
      </c>
      <c r="K19" s="55">
        <f>'hoaki past18'!S28</f>
        <v>3608.5000000000005</v>
      </c>
      <c r="L19" s="142">
        <f t="shared" si="0"/>
        <v>0</v>
      </c>
      <c r="M19" s="145"/>
    </row>
    <row r="20" spans="1:13" ht="18.75" customHeight="1">
      <c r="A20" s="720" t="s">
        <v>65</v>
      </c>
      <c r="B20" s="721"/>
      <c r="C20" s="722"/>
      <c r="D20" s="51"/>
      <c r="E20" s="52" t="s">
        <v>13</v>
      </c>
      <c r="F20" s="53"/>
      <c r="G20" s="54">
        <v>1633.3</v>
      </c>
      <c r="H20" s="55">
        <v>1633.3</v>
      </c>
      <c r="I20" s="55"/>
      <c r="J20" s="54">
        <f>'hoaki dram18'!P30</f>
        <v>0</v>
      </c>
      <c r="K20" s="54">
        <f>'hoaki past18'!T28</f>
        <v>0</v>
      </c>
      <c r="L20" s="142">
        <f t="shared" si="0"/>
        <v>0</v>
      </c>
      <c r="M20" s="145"/>
    </row>
    <row r="21" spans="1:13" ht="18.75" customHeight="1">
      <c r="A21" s="720" t="s">
        <v>66</v>
      </c>
      <c r="B21" s="721"/>
      <c r="C21" s="722"/>
      <c r="D21" s="51"/>
      <c r="E21" s="52" t="s">
        <v>14</v>
      </c>
      <c r="F21" s="53"/>
      <c r="G21" s="54">
        <v>250</v>
      </c>
      <c r="H21" s="55">
        <v>250</v>
      </c>
      <c r="I21" s="55"/>
      <c r="J21" s="54">
        <f>'hoaki dram18'!Q30</f>
        <v>2425.9</v>
      </c>
      <c r="K21" s="55">
        <f>'hoaki past18'!U28</f>
        <v>2425.9</v>
      </c>
      <c r="L21" s="142">
        <f t="shared" si="0"/>
        <v>0</v>
      </c>
      <c r="M21" s="145"/>
    </row>
    <row r="22" spans="1:13" ht="18.75" customHeight="1">
      <c r="A22" s="717" t="s">
        <v>28</v>
      </c>
      <c r="B22" s="718"/>
      <c r="C22" s="719"/>
      <c r="D22" s="51" t="s">
        <v>29</v>
      </c>
      <c r="E22" s="52" t="s">
        <v>15</v>
      </c>
      <c r="F22" s="53"/>
      <c r="G22" s="54">
        <v>3950.3</v>
      </c>
      <c r="H22" s="55">
        <v>3950.3</v>
      </c>
      <c r="I22" s="55"/>
      <c r="J22" s="54">
        <f>'hoaki dram18'!R30</f>
        <v>2931.0999999999995</v>
      </c>
      <c r="K22" s="55">
        <f>'hoaki past18'!V28</f>
        <v>2931.0999999999995</v>
      </c>
      <c r="L22" s="142">
        <f t="shared" si="0"/>
        <v>0</v>
      </c>
      <c r="M22" s="145"/>
    </row>
    <row r="23" spans="1:13" ht="18.75" customHeight="1">
      <c r="A23" s="735" t="s">
        <v>148</v>
      </c>
      <c r="B23" s="736"/>
      <c r="C23" s="737"/>
      <c r="D23" s="51"/>
      <c r="E23" s="52" t="s">
        <v>78</v>
      </c>
      <c r="F23" s="53"/>
      <c r="G23" s="54"/>
      <c r="H23" s="55"/>
      <c r="I23" s="55"/>
      <c r="J23" s="54">
        <f>'hoaki dram18'!S30</f>
        <v>100</v>
      </c>
      <c r="K23" s="55">
        <f>'hoaki past18'!W28</f>
        <v>100</v>
      </c>
      <c r="L23" s="142">
        <f t="shared" si="0"/>
        <v>0</v>
      </c>
      <c r="M23" s="145"/>
    </row>
    <row r="24" spans="1:13" ht="18.75" customHeight="1">
      <c r="A24" s="726" t="s">
        <v>67</v>
      </c>
      <c r="B24" s="727"/>
      <c r="C24" s="728"/>
      <c r="D24" s="51" t="s">
        <v>32</v>
      </c>
      <c r="E24" s="52" t="s">
        <v>50</v>
      </c>
      <c r="F24" s="53"/>
      <c r="G24" s="54">
        <v>24681.2</v>
      </c>
      <c r="H24" s="55">
        <v>24681.2</v>
      </c>
      <c r="I24" s="55"/>
      <c r="J24" s="54">
        <f>'hoaki dram18'!T30</f>
        <v>1884</v>
      </c>
      <c r="K24" s="55">
        <f>'hoaki past18'!X28</f>
        <v>1884</v>
      </c>
      <c r="L24" s="142">
        <f t="shared" si="0"/>
        <v>0</v>
      </c>
      <c r="M24" s="145"/>
    </row>
    <row r="25" spans="1:13" ht="18.75" customHeight="1">
      <c r="A25" s="720" t="s">
        <v>75</v>
      </c>
      <c r="B25" s="721"/>
      <c r="C25" s="722"/>
      <c r="D25" s="51"/>
      <c r="E25" s="52" t="s">
        <v>96</v>
      </c>
      <c r="F25" s="53"/>
      <c r="G25" s="54"/>
      <c r="H25" s="55"/>
      <c r="I25" s="55"/>
      <c r="J25" s="54">
        <f>'hoaki dram18'!U30</f>
        <v>256</v>
      </c>
      <c r="K25" s="55">
        <f>'hoaki past18'!Y28</f>
        <v>256</v>
      </c>
      <c r="L25" s="142">
        <f t="shared" si="0"/>
        <v>0</v>
      </c>
      <c r="M25" s="145"/>
    </row>
    <row r="26" spans="1:13" ht="18.75" customHeight="1">
      <c r="A26" s="720" t="s">
        <v>68</v>
      </c>
      <c r="B26" s="721"/>
      <c r="C26" s="722"/>
      <c r="D26" s="51"/>
      <c r="E26" s="52" t="s">
        <v>51</v>
      </c>
      <c r="F26" s="53"/>
      <c r="G26" s="54">
        <v>43982.3</v>
      </c>
      <c r="H26" s="55">
        <v>43982.3</v>
      </c>
      <c r="I26" s="55"/>
      <c r="J26" s="54">
        <f>'hoaki dram18'!V30</f>
        <v>67200</v>
      </c>
      <c r="K26" s="55">
        <f>'hoaki past18'!Z28</f>
        <v>67200</v>
      </c>
      <c r="L26" s="142">
        <f t="shared" si="0"/>
        <v>0</v>
      </c>
      <c r="M26" s="145"/>
    </row>
    <row r="27" spans="1:13" ht="18.75" customHeight="1">
      <c r="A27" s="720" t="s">
        <v>74</v>
      </c>
      <c r="B27" s="721"/>
      <c r="C27" s="722"/>
      <c r="D27" s="51"/>
      <c r="E27" s="52" t="s">
        <v>2</v>
      </c>
      <c r="F27" s="53"/>
      <c r="G27" s="54"/>
      <c r="H27" s="55"/>
      <c r="I27" s="55"/>
      <c r="J27" s="54">
        <f>'hoaki dram18'!W30</f>
        <v>846.0999999999999</v>
      </c>
      <c r="K27" s="55">
        <f>'hoaki past18'!AA28</f>
        <v>846.0999999999999</v>
      </c>
      <c r="L27" s="142">
        <f t="shared" si="0"/>
        <v>0</v>
      </c>
      <c r="M27" s="145"/>
    </row>
    <row r="28" spans="1:13" ht="18.75" customHeight="1" thickBot="1">
      <c r="A28" s="726" t="s">
        <v>36</v>
      </c>
      <c r="B28" s="727"/>
      <c r="C28" s="728"/>
      <c r="D28" s="51" t="s">
        <v>37</v>
      </c>
      <c r="E28" s="52" t="s">
        <v>59</v>
      </c>
      <c r="F28" s="53"/>
      <c r="G28" s="54">
        <v>500</v>
      </c>
      <c r="H28" s="55">
        <v>500</v>
      </c>
      <c r="I28" s="55"/>
      <c r="J28" s="54">
        <f>'hoaki dram18'!X30</f>
        <v>15.7</v>
      </c>
      <c r="K28" s="55">
        <f>'hoaki past18'!AB28</f>
        <v>15.7</v>
      </c>
      <c r="L28" s="142">
        <f t="shared" si="0"/>
        <v>0</v>
      </c>
      <c r="M28" s="155"/>
    </row>
    <row r="29" spans="1:13" ht="18.75" customHeight="1" thickBot="1">
      <c r="A29" s="723" t="s">
        <v>43</v>
      </c>
      <c r="B29" s="724"/>
      <c r="C29" s="725"/>
      <c r="D29" s="39" t="s">
        <v>16</v>
      </c>
      <c r="E29" s="40"/>
      <c r="F29" s="45"/>
      <c r="G29" s="46">
        <f>SUM(G30:G32)</f>
        <v>87696.4</v>
      </c>
      <c r="H29" s="46">
        <f>SUM(H30:H32)</f>
        <v>87696.4</v>
      </c>
      <c r="I29" s="46">
        <f>I30+I31+I32</f>
        <v>0</v>
      </c>
      <c r="J29" s="46">
        <f>J30+J31+J32</f>
        <v>2005</v>
      </c>
      <c r="K29" s="46">
        <f>K30+K31+K32</f>
        <v>2005</v>
      </c>
      <c r="L29" s="56">
        <f>L30+L31+L32</f>
        <v>0</v>
      </c>
      <c r="M29" s="154"/>
    </row>
    <row r="30" spans="1:13" ht="27" customHeight="1">
      <c r="A30" s="732" t="s">
        <v>161</v>
      </c>
      <c r="B30" s="733"/>
      <c r="C30" s="734"/>
      <c r="D30" s="134"/>
      <c r="E30" s="70" t="s">
        <v>55</v>
      </c>
      <c r="F30" s="135"/>
      <c r="G30" s="58">
        <v>82596.4</v>
      </c>
      <c r="H30" s="57">
        <v>82596.4</v>
      </c>
      <c r="I30" s="57"/>
      <c r="J30" s="58">
        <f>'hoaki dram18'!Z30</f>
        <v>0</v>
      </c>
      <c r="K30" s="59">
        <f>'hoaki past18'!AD28</f>
        <v>0</v>
      </c>
      <c r="L30" s="143">
        <f>(K30-J30-I30)</f>
        <v>0</v>
      </c>
      <c r="M30" s="156"/>
    </row>
    <row r="31" spans="1:13" ht="18.75" customHeight="1">
      <c r="A31" s="720" t="s">
        <v>87</v>
      </c>
      <c r="B31" s="721"/>
      <c r="C31" s="722"/>
      <c r="D31" s="9" t="s">
        <v>46</v>
      </c>
      <c r="E31" s="52" t="s">
        <v>49</v>
      </c>
      <c r="F31" s="53"/>
      <c r="G31" s="54">
        <v>5100</v>
      </c>
      <c r="H31" s="55">
        <v>5100</v>
      </c>
      <c r="I31" s="55"/>
      <c r="J31" s="54">
        <f>'hoaki dram18'!AA30</f>
        <v>1755</v>
      </c>
      <c r="K31" s="60">
        <f>'hoaki past18'!AE28</f>
        <v>1755</v>
      </c>
      <c r="L31" s="144">
        <f>-(K31-J31-I31)</f>
        <v>0</v>
      </c>
      <c r="M31" s="145"/>
    </row>
    <row r="32" spans="1:13" ht="18.75" customHeight="1" thickBot="1">
      <c r="A32" s="715" t="s">
        <v>69</v>
      </c>
      <c r="B32" s="716"/>
      <c r="C32" s="716"/>
      <c r="D32" s="716"/>
      <c r="E32" s="136" t="s">
        <v>57</v>
      </c>
      <c r="F32" s="137"/>
      <c r="G32" s="138"/>
      <c r="H32" s="138"/>
      <c r="I32" s="61"/>
      <c r="J32" s="62">
        <f>'hoaki dram18'!AB30</f>
        <v>250</v>
      </c>
      <c r="K32" s="62">
        <f>'hoaki past18'!AF28</f>
        <v>250</v>
      </c>
      <c r="L32" s="142">
        <f>-(K32-J32-I32)</f>
        <v>0</v>
      </c>
      <c r="M32" s="155"/>
    </row>
    <row r="33" spans="1:13" s="68" customFormat="1" ht="18.75" customHeight="1" thickBot="1">
      <c r="A33" s="713" t="s">
        <v>149</v>
      </c>
      <c r="B33" s="714"/>
      <c r="C33" s="714"/>
      <c r="D33" s="63"/>
      <c r="E33" s="64"/>
      <c r="F33" s="65"/>
      <c r="G33" s="66"/>
      <c r="H33" s="66"/>
      <c r="I33" s="67">
        <f>'hoaki dram18'!B30</f>
        <v>0</v>
      </c>
      <c r="J33" s="67"/>
      <c r="K33" s="67"/>
      <c r="L33" s="56">
        <f>I33+J6-J9</f>
        <v>38.800000000104774</v>
      </c>
      <c r="M33" s="157"/>
    </row>
    <row r="34" spans="1:13" s="68" customFormat="1" ht="18.75" customHeight="1">
      <c r="A34" s="540"/>
      <c r="B34" s="540"/>
      <c r="C34" s="540"/>
      <c r="D34" s="540"/>
      <c r="E34" s="540"/>
      <c r="F34" s="540"/>
      <c r="G34" s="541"/>
      <c r="H34" s="541"/>
      <c r="I34" s="541"/>
      <c r="J34" s="541"/>
      <c r="K34" s="541"/>
      <c r="L34" s="541"/>
      <c r="M34" s="542"/>
    </row>
  </sheetData>
  <sheetProtection/>
  <mergeCells count="40">
    <mergeCell ref="A1:L1"/>
    <mergeCell ref="A3:L3"/>
    <mergeCell ref="A4:C5"/>
    <mergeCell ref="D4:D5"/>
    <mergeCell ref="F4:F5"/>
    <mergeCell ref="H4:H5"/>
    <mergeCell ref="J4:K4"/>
    <mergeCell ref="M4:M5"/>
    <mergeCell ref="L4:L5"/>
    <mergeCell ref="E4:E5"/>
    <mergeCell ref="I4:I5"/>
    <mergeCell ref="G4:G5"/>
    <mergeCell ref="A7:C7"/>
    <mergeCell ref="A16:C16"/>
    <mergeCell ref="A18:C18"/>
    <mergeCell ref="A17:C17"/>
    <mergeCell ref="A19:C19"/>
    <mergeCell ref="A6:C6"/>
    <mergeCell ref="A9:C9"/>
    <mergeCell ref="A10:C10"/>
    <mergeCell ref="A8:C8"/>
    <mergeCell ref="A11:C11"/>
    <mergeCell ref="A30:C30"/>
    <mergeCell ref="A31:C31"/>
    <mergeCell ref="A20:C20"/>
    <mergeCell ref="A21:C21"/>
    <mergeCell ref="A23:C23"/>
    <mergeCell ref="A12:C12"/>
    <mergeCell ref="A13:C13"/>
    <mergeCell ref="A14:C14"/>
    <mergeCell ref="A15:C15"/>
    <mergeCell ref="A33:C33"/>
    <mergeCell ref="A32:D32"/>
    <mergeCell ref="A22:C22"/>
    <mergeCell ref="A27:C27"/>
    <mergeCell ref="A29:C29"/>
    <mergeCell ref="A28:C28"/>
    <mergeCell ref="A24:C24"/>
    <mergeCell ref="A25:C25"/>
    <mergeCell ref="A26:C26"/>
  </mergeCells>
  <printOptions/>
  <pageMargins left="0.15" right="0.15" top="0.14" bottom="0.13" header="0.14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49"/>
  <sheetViews>
    <sheetView view="pageBreakPreview" zoomScaleSheetLayoutView="100" workbookViewId="0" topLeftCell="A2">
      <pane xSplit="1" ySplit="3" topLeftCell="U29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B54" sqref="AB54"/>
    </sheetView>
  </sheetViews>
  <sheetFormatPr defaultColWidth="9.140625" defaultRowHeight="12.75"/>
  <cols>
    <col min="1" max="1" width="29.8515625" style="234" customWidth="1"/>
    <col min="2" max="2" width="10.8515625" style="234" customWidth="1"/>
    <col min="3" max="3" width="8.8515625" style="234" customWidth="1"/>
    <col min="4" max="4" width="9.28125" style="234" customWidth="1"/>
    <col min="5" max="5" width="9.140625" style="234" bestFit="1" customWidth="1"/>
    <col min="6" max="6" width="9.421875" style="234" customWidth="1"/>
    <col min="7" max="7" width="7.421875" style="234" customWidth="1"/>
    <col min="8" max="8" width="7.7109375" style="234" bestFit="1" customWidth="1"/>
    <col min="9" max="9" width="6.421875" style="234" hidden="1" customWidth="1"/>
    <col min="10" max="10" width="8.421875" style="234" customWidth="1"/>
    <col min="11" max="11" width="7.8515625" style="234" customWidth="1"/>
    <col min="12" max="12" width="7.57421875" style="234" customWidth="1"/>
    <col min="13" max="13" width="9.00390625" style="234" customWidth="1"/>
    <col min="14" max="14" width="9.421875" style="234" customWidth="1"/>
    <col min="15" max="15" width="11.421875" style="234" customWidth="1"/>
    <col min="16" max="16" width="6.57421875" style="234" customWidth="1"/>
    <col min="17" max="17" width="9.421875" style="234" customWidth="1"/>
    <col min="18" max="18" width="7.57421875" style="234" customWidth="1"/>
    <col min="19" max="19" width="10.7109375" style="234" customWidth="1"/>
    <col min="20" max="20" width="10.00390625" style="234" customWidth="1"/>
    <col min="21" max="21" width="7.57421875" style="234" customWidth="1"/>
    <col min="22" max="22" width="12.140625" style="234" customWidth="1"/>
    <col min="23" max="23" width="9.57421875" style="234" customWidth="1"/>
    <col min="24" max="24" width="9.00390625" style="234" customWidth="1"/>
    <col min="25" max="25" width="6.8515625" style="234" customWidth="1"/>
    <col min="26" max="26" width="9.57421875" style="234" customWidth="1"/>
    <col min="27" max="27" width="0.2890625" style="234" customWidth="1"/>
    <col min="28" max="28" width="13.57421875" style="234" customWidth="1"/>
    <col min="29" max="29" width="6.421875" style="234" hidden="1" customWidth="1"/>
    <col min="30" max="30" width="8.8515625" style="234" customWidth="1"/>
    <col min="31" max="31" width="10.421875" style="234" customWidth="1"/>
    <col min="32" max="32" width="5.7109375" style="234" customWidth="1"/>
    <col min="33" max="33" width="7.00390625" style="234" customWidth="1"/>
    <col min="34" max="35" width="9.140625" style="234" customWidth="1"/>
    <col min="36" max="36" width="7.140625" style="234" customWidth="1"/>
    <col min="37" max="37" width="10.57421875" style="234" customWidth="1"/>
    <col min="38" max="38" width="12.57421875" style="234" customWidth="1"/>
    <col min="39" max="39" width="7.7109375" style="234" hidden="1" customWidth="1"/>
    <col min="40" max="40" width="10.7109375" style="234" customWidth="1"/>
    <col min="41" max="41" width="11.57421875" style="234" customWidth="1"/>
    <col min="42" max="42" width="11.7109375" style="234" customWidth="1"/>
    <col min="43" max="16384" width="9.140625" style="234" customWidth="1"/>
  </cols>
  <sheetData>
    <row r="1" spans="37:38" ht="12.75" hidden="1">
      <c r="AK1" s="339"/>
      <c r="AL1" s="340"/>
    </row>
    <row r="2" spans="1:38" ht="15">
      <c r="A2" s="341" t="s">
        <v>228</v>
      </c>
      <c r="AK2" s="339"/>
      <c r="AL2" s="340"/>
    </row>
    <row r="3" spans="1:38" s="343" customFormat="1" ht="14.25" customHeight="1" thickBot="1">
      <c r="A3" s="777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</row>
    <row r="4" spans="1:42" s="248" customFormat="1" ht="37.5" customHeight="1" thickBot="1">
      <c r="A4" s="344"/>
      <c r="B4" s="345">
        <v>4111</v>
      </c>
      <c r="C4" s="345">
        <v>4112</v>
      </c>
      <c r="D4" s="346">
        <v>4212</v>
      </c>
      <c r="E4" s="346">
        <v>4213</v>
      </c>
      <c r="F4" s="346">
        <v>4214</v>
      </c>
      <c r="G4" s="346">
        <v>4215</v>
      </c>
      <c r="H4" s="346">
        <v>4221</v>
      </c>
      <c r="I4" s="346">
        <v>4222</v>
      </c>
      <c r="J4" s="346">
        <v>4232</v>
      </c>
      <c r="K4" s="346">
        <v>4234</v>
      </c>
      <c r="L4" s="346">
        <v>4237</v>
      </c>
      <c r="M4" s="346">
        <v>4239</v>
      </c>
      <c r="N4" s="346">
        <v>4241</v>
      </c>
      <c r="O4" s="346">
        <v>4251</v>
      </c>
      <c r="P4" s="346">
        <v>4252</v>
      </c>
      <c r="Q4" s="346">
        <v>4261</v>
      </c>
      <c r="R4" s="346">
        <v>4262</v>
      </c>
      <c r="S4" s="346" t="s">
        <v>50</v>
      </c>
      <c r="T4" s="346" t="s">
        <v>51</v>
      </c>
      <c r="U4" s="346" t="s">
        <v>2</v>
      </c>
      <c r="V4" s="346">
        <v>4511</v>
      </c>
      <c r="W4" s="346">
        <v>4637</v>
      </c>
      <c r="X4" s="346" t="s">
        <v>53</v>
      </c>
      <c r="Y4" s="346">
        <v>4819</v>
      </c>
      <c r="Z4" s="347" t="s">
        <v>59</v>
      </c>
      <c r="AA4" s="348">
        <v>4891</v>
      </c>
      <c r="AB4" s="349" t="s">
        <v>123</v>
      </c>
      <c r="AC4" s="350">
        <v>5111</v>
      </c>
      <c r="AD4" s="351" t="s">
        <v>81</v>
      </c>
      <c r="AE4" s="351" t="s">
        <v>55</v>
      </c>
      <c r="AF4" s="351" t="s">
        <v>56</v>
      </c>
      <c r="AG4" s="351" t="s">
        <v>49</v>
      </c>
      <c r="AH4" s="352" t="s">
        <v>57</v>
      </c>
      <c r="AI4" s="352" t="s">
        <v>221</v>
      </c>
      <c r="AJ4" s="352" t="s">
        <v>58</v>
      </c>
      <c r="AK4" s="238" t="s">
        <v>167</v>
      </c>
      <c r="AL4" s="353" t="s">
        <v>124</v>
      </c>
      <c r="AM4" s="354">
        <v>8111</v>
      </c>
      <c r="AN4" s="355">
        <v>8411</v>
      </c>
      <c r="AO4" s="356" t="s">
        <v>174</v>
      </c>
      <c r="AP4" s="357" t="s">
        <v>175</v>
      </c>
    </row>
    <row r="5" spans="1:42" s="262" customFormat="1" ht="18.75" customHeight="1">
      <c r="A5" s="386" t="s">
        <v>119</v>
      </c>
      <c r="B5" s="387">
        <v>74539.8</v>
      </c>
      <c r="C5" s="261">
        <v>5694.8</v>
      </c>
      <c r="D5" s="261">
        <v>5740.4</v>
      </c>
      <c r="E5" s="261">
        <v>158.2</v>
      </c>
      <c r="F5" s="261">
        <v>2360</v>
      </c>
      <c r="G5" s="261">
        <v>84</v>
      </c>
      <c r="H5" s="261">
        <v>193.6</v>
      </c>
      <c r="I5" s="261"/>
      <c r="J5" s="261">
        <v>264</v>
      </c>
      <c r="K5" s="261">
        <v>103.6</v>
      </c>
      <c r="L5" s="261">
        <v>1190</v>
      </c>
      <c r="M5" s="261">
        <v>9.6</v>
      </c>
      <c r="N5" s="261">
        <v>3102.4</v>
      </c>
      <c r="O5" s="261"/>
      <c r="P5" s="261">
        <v>221</v>
      </c>
      <c r="Q5" s="261">
        <v>2607.5</v>
      </c>
      <c r="R5" s="261"/>
      <c r="S5" s="261">
        <v>7044.3</v>
      </c>
      <c r="T5" s="407">
        <v>668.2</v>
      </c>
      <c r="U5" s="261">
        <v>438</v>
      </c>
      <c r="V5" s="261"/>
      <c r="W5" s="261"/>
      <c r="X5" s="261"/>
      <c r="Y5" s="261"/>
      <c r="Z5" s="408">
        <v>30.3</v>
      </c>
      <c r="AA5" s="363"/>
      <c r="AB5" s="358">
        <f>SUM(B5:AA5)</f>
        <v>104449.70000000001</v>
      </c>
      <c r="AC5" s="364"/>
      <c r="AD5" s="409"/>
      <c r="AE5" s="261"/>
      <c r="AF5" s="261"/>
      <c r="AG5" s="410">
        <v>1655</v>
      </c>
      <c r="AH5" s="261"/>
      <c r="AI5" s="388">
        <v>560</v>
      </c>
      <c r="AJ5" s="388"/>
      <c r="AK5" s="358">
        <f>SUM(AC5+AD5+AE5+AF5+AG5+AH5+AI5+AJ5)</f>
        <v>2215</v>
      </c>
      <c r="AL5" s="365">
        <f aca="true" t="shared" si="0" ref="AL5:AL18">SUM(AB5,AK5)</f>
        <v>106664.70000000001</v>
      </c>
      <c r="AM5" s="411"/>
      <c r="AN5" s="412"/>
      <c r="AO5" s="413">
        <f>AM5+AN5</f>
        <v>0</v>
      </c>
      <c r="AP5" s="369">
        <f aca="true" t="shared" si="1" ref="AP5:AP12">AL5+AO5</f>
        <v>106664.70000000001</v>
      </c>
    </row>
    <row r="6" spans="1:42" s="262" customFormat="1" ht="18.75" customHeight="1">
      <c r="A6" s="359" t="s">
        <v>120</v>
      </c>
      <c r="B6" s="360">
        <v>5594.6</v>
      </c>
      <c r="C6" s="263">
        <v>438.4</v>
      </c>
      <c r="D6" s="263">
        <v>379.9</v>
      </c>
      <c r="E6" s="263"/>
      <c r="F6" s="263">
        <v>166.5</v>
      </c>
      <c r="G6" s="263"/>
      <c r="H6" s="263"/>
      <c r="I6" s="263"/>
      <c r="J6" s="263"/>
      <c r="K6" s="263"/>
      <c r="L6" s="263"/>
      <c r="M6" s="263"/>
      <c r="N6" s="263">
        <v>600</v>
      </c>
      <c r="O6" s="263">
        <v>397.7</v>
      </c>
      <c r="P6" s="263"/>
      <c r="Q6" s="263">
        <v>80</v>
      </c>
      <c r="R6" s="263"/>
      <c r="S6" s="263"/>
      <c r="T6" s="263"/>
      <c r="U6" s="263"/>
      <c r="V6" s="263"/>
      <c r="W6" s="263"/>
      <c r="X6" s="263"/>
      <c r="Y6" s="263"/>
      <c r="Z6" s="362"/>
      <c r="AA6" s="363"/>
      <c r="AB6" s="358">
        <f aca="true" t="shared" si="2" ref="AB6:AB19">SUM(B6:AA6)</f>
        <v>7657.099999999999</v>
      </c>
      <c r="AC6" s="364"/>
      <c r="AD6" s="414"/>
      <c r="AE6" s="263"/>
      <c r="AF6" s="263"/>
      <c r="AG6" s="361"/>
      <c r="AH6" s="263"/>
      <c r="AI6" s="362"/>
      <c r="AJ6" s="362"/>
      <c r="AK6" s="358">
        <f aca="true" t="shared" si="3" ref="AK6:AK19">SUM(AC6+AD6+AE6+AF6+AG6+AH6+AI6+AJ6)</f>
        <v>0</v>
      </c>
      <c r="AL6" s="365">
        <f t="shared" si="0"/>
        <v>7657.099999999999</v>
      </c>
      <c r="AM6" s="366"/>
      <c r="AN6" s="367"/>
      <c r="AO6" s="368">
        <f aca="true" t="shared" si="4" ref="AO6:AO44">AM6+AN6</f>
        <v>0</v>
      </c>
      <c r="AP6" s="369">
        <f t="shared" si="1"/>
        <v>7657.099999999999</v>
      </c>
    </row>
    <row r="7" spans="1:42" s="262" customFormat="1" ht="18.75" customHeight="1">
      <c r="A7" s="359" t="s">
        <v>0</v>
      </c>
      <c r="B7" s="360">
        <v>8825</v>
      </c>
      <c r="C7" s="263"/>
      <c r="D7" s="263"/>
      <c r="E7" s="263"/>
      <c r="F7" s="263"/>
      <c r="G7" s="263"/>
      <c r="H7" s="263"/>
      <c r="I7" s="263"/>
      <c r="J7" s="263">
        <v>345.6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362"/>
      <c r="AA7" s="363"/>
      <c r="AB7" s="358">
        <f t="shared" si="2"/>
        <v>9170.6</v>
      </c>
      <c r="AC7" s="364"/>
      <c r="AD7" s="263"/>
      <c r="AE7" s="263"/>
      <c r="AF7" s="263"/>
      <c r="AG7" s="361"/>
      <c r="AH7" s="263"/>
      <c r="AI7" s="362"/>
      <c r="AJ7" s="362"/>
      <c r="AK7" s="358">
        <f t="shared" si="3"/>
        <v>0</v>
      </c>
      <c r="AL7" s="365">
        <f t="shared" si="0"/>
        <v>9170.6</v>
      </c>
      <c r="AM7" s="366"/>
      <c r="AN7" s="367"/>
      <c r="AO7" s="368">
        <f t="shared" si="4"/>
        <v>0</v>
      </c>
      <c r="AP7" s="369">
        <f t="shared" si="1"/>
        <v>9170.6</v>
      </c>
    </row>
    <row r="8" spans="1:42" s="262" customFormat="1" ht="18.75" customHeight="1">
      <c r="A8" s="359" t="s">
        <v>1</v>
      </c>
      <c r="B8" s="360"/>
      <c r="C8" s="263"/>
      <c r="D8" s="263"/>
      <c r="E8" s="263"/>
      <c r="F8" s="263"/>
      <c r="G8" s="263"/>
      <c r="H8" s="263"/>
      <c r="I8" s="263"/>
      <c r="J8" s="263"/>
      <c r="K8" s="263"/>
      <c r="L8" s="415"/>
      <c r="M8" s="263"/>
      <c r="N8" s="263">
        <v>165</v>
      </c>
      <c r="O8" s="263"/>
      <c r="P8" s="263"/>
      <c r="Q8" s="263"/>
      <c r="R8" s="263"/>
      <c r="S8" s="263"/>
      <c r="T8" s="263"/>
      <c r="U8" s="263"/>
      <c r="V8" s="263"/>
      <c r="W8" s="263"/>
      <c r="X8" s="263">
        <v>250</v>
      </c>
      <c r="Y8" s="263">
        <v>2180</v>
      </c>
      <c r="Z8" s="362">
        <v>137.8</v>
      </c>
      <c r="AA8" s="363"/>
      <c r="AB8" s="358">
        <f t="shared" si="2"/>
        <v>2732.8</v>
      </c>
      <c r="AC8" s="364"/>
      <c r="AD8" s="263">
        <v>4037.2</v>
      </c>
      <c r="AE8" s="263">
        <v>9034.4</v>
      </c>
      <c r="AF8" s="263"/>
      <c r="AG8" s="361">
        <v>485</v>
      </c>
      <c r="AH8" s="263"/>
      <c r="AI8" s="362"/>
      <c r="AJ8" s="362">
        <v>2000</v>
      </c>
      <c r="AK8" s="358">
        <f t="shared" si="3"/>
        <v>15556.599999999999</v>
      </c>
      <c r="AL8" s="365">
        <f t="shared" si="0"/>
        <v>18289.399999999998</v>
      </c>
      <c r="AM8" s="366"/>
      <c r="AN8" s="367"/>
      <c r="AO8" s="368">
        <f t="shared" si="4"/>
        <v>0</v>
      </c>
      <c r="AP8" s="369">
        <f t="shared" si="1"/>
        <v>18289.399999999998</v>
      </c>
    </row>
    <row r="9" spans="1:42" s="262" customFormat="1" ht="18.75" customHeight="1">
      <c r="A9" s="359" t="s">
        <v>102</v>
      </c>
      <c r="B9" s="360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>
        <v>16862.4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362"/>
      <c r="AA9" s="363"/>
      <c r="AB9" s="358">
        <f t="shared" si="2"/>
        <v>16862.4</v>
      </c>
      <c r="AC9" s="364"/>
      <c r="AD9" s="263"/>
      <c r="AE9" s="263"/>
      <c r="AF9" s="263"/>
      <c r="AG9" s="361"/>
      <c r="AH9" s="263"/>
      <c r="AI9" s="362"/>
      <c r="AJ9" s="362"/>
      <c r="AK9" s="358">
        <f t="shared" si="3"/>
        <v>0</v>
      </c>
      <c r="AL9" s="365">
        <f t="shared" si="0"/>
        <v>16862.4</v>
      </c>
      <c r="AM9" s="366"/>
      <c r="AN9" s="367"/>
      <c r="AO9" s="368">
        <f t="shared" si="4"/>
        <v>0</v>
      </c>
      <c r="AP9" s="369">
        <f t="shared" si="1"/>
        <v>16862.4</v>
      </c>
    </row>
    <row r="10" spans="1:42" s="262" customFormat="1" ht="18.75" customHeight="1">
      <c r="A10" s="359" t="s">
        <v>107</v>
      </c>
      <c r="B10" s="360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362"/>
      <c r="AA10" s="363"/>
      <c r="AB10" s="358">
        <f t="shared" si="2"/>
        <v>0</v>
      </c>
      <c r="AC10" s="364"/>
      <c r="AD10" s="263"/>
      <c r="AE10" s="263"/>
      <c r="AF10" s="263"/>
      <c r="AG10" s="361"/>
      <c r="AH10" s="263"/>
      <c r="AI10" s="362"/>
      <c r="AJ10" s="362"/>
      <c r="AK10" s="358">
        <f t="shared" si="3"/>
        <v>0</v>
      </c>
      <c r="AL10" s="365">
        <f t="shared" si="0"/>
        <v>0</v>
      </c>
      <c r="AM10" s="366"/>
      <c r="AN10" s="367"/>
      <c r="AO10" s="368">
        <f t="shared" si="4"/>
        <v>0</v>
      </c>
      <c r="AP10" s="369">
        <f t="shared" si="1"/>
        <v>0</v>
      </c>
    </row>
    <row r="11" spans="1:42" s="262" customFormat="1" ht="18.75" customHeight="1">
      <c r="A11" s="359" t="s">
        <v>121</v>
      </c>
      <c r="B11" s="360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>
        <v>6944.8</v>
      </c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362"/>
      <c r="AA11" s="363"/>
      <c r="AB11" s="358">
        <f t="shared" si="2"/>
        <v>6944.8</v>
      </c>
      <c r="AC11" s="364"/>
      <c r="AD11" s="263"/>
      <c r="AE11" s="263"/>
      <c r="AF11" s="263"/>
      <c r="AG11" s="361"/>
      <c r="AH11" s="263"/>
      <c r="AI11" s="362"/>
      <c r="AJ11" s="362"/>
      <c r="AK11" s="358">
        <f t="shared" si="3"/>
        <v>0</v>
      </c>
      <c r="AL11" s="365">
        <f t="shared" si="0"/>
        <v>6944.8</v>
      </c>
      <c r="AM11" s="366"/>
      <c r="AN11" s="367"/>
      <c r="AO11" s="368">
        <f t="shared" si="4"/>
        <v>0</v>
      </c>
      <c r="AP11" s="369">
        <f t="shared" si="1"/>
        <v>6944.8</v>
      </c>
    </row>
    <row r="12" spans="1:42" s="262" customFormat="1" ht="18.75" customHeight="1">
      <c r="A12" s="359" t="s">
        <v>125</v>
      </c>
      <c r="B12" s="360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>
        <v>6158.9</v>
      </c>
      <c r="Y12" s="263">
        <v>2790</v>
      </c>
      <c r="Z12" s="362"/>
      <c r="AA12" s="363"/>
      <c r="AB12" s="358">
        <f t="shared" si="2"/>
        <v>8948.9</v>
      </c>
      <c r="AC12" s="364"/>
      <c r="AD12" s="263"/>
      <c r="AE12" s="263"/>
      <c r="AF12" s="263"/>
      <c r="AG12" s="361"/>
      <c r="AH12" s="263"/>
      <c r="AI12" s="362"/>
      <c r="AJ12" s="362"/>
      <c r="AK12" s="358">
        <f t="shared" si="3"/>
        <v>0</v>
      </c>
      <c r="AL12" s="365">
        <f t="shared" si="0"/>
        <v>8948.9</v>
      </c>
      <c r="AM12" s="366"/>
      <c r="AN12" s="367"/>
      <c r="AO12" s="368">
        <f t="shared" si="4"/>
        <v>0</v>
      </c>
      <c r="AP12" s="369">
        <f t="shared" si="1"/>
        <v>8948.9</v>
      </c>
    </row>
    <row r="13" spans="1:42" s="262" customFormat="1" ht="18.75" customHeight="1">
      <c r="A13" s="359" t="s">
        <v>100</v>
      </c>
      <c r="B13" s="387">
        <v>51252.5</v>
      </c>
      <c r="C13" s="261"/>
      <c r="D13" s="261"/>
      <c r="E13" s="261"/>
      <c r="F13" s="261">
        <v>960</v>
      </c>
      <c r="G13" s="261">
        <v>198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>
        <v>33107.1</v>
      </c>
      <c r="T13" s="261">
        <v>1743.7</v>
      </c>
      <c r="U13" s="261"/>
      <c r="V13" s="261"/>
      <c r="W13" s="261"/>
      <c r="X13" s="261">
        <v>1222.8</v>
      </c>
      <c r="Y13" s="261"/>
      <c r="Z13" s="362">
        <v>3829.5</v>
      </c>
      <c r="AA13" s="363"/>
      <c r="AB13" s="358">
        <f t="shared" si="2"/>
        <v>92313.6</v>
      </c>
      <c r="AC13" s="364"/>
      <c r="AD13" s="263"/>
      <c r="AE13" s="263"/>
      <c r="AF13" s="263"/>
      <c r="AG13" s="361"/>
      <c r="AH13" s="263">
        <v>5221.6</v>
      </c>
      <c r="AI13" s="362"/>
      <c r="AJ13" s="362"/>
      <c r="AK13" s="358">
        <f t="shared" si="3"/>
        <v>5221.6</v>
      </c>
      <c r="AL13" s="365">
        <f t="shared" si="0"/>
        <v>97535.20000000001</v>
      </c>
      <c r="AM13" s="366"/>
      <c r="AN13" s="367"/>
      <c r="AO13" s="368">
        <f t="shared" si="4"/>
        <v>0</v>
      </c>
      <c r="AP13" s="369">
        <f aca="true" t="shared" si="5" ref="AP13:AP44">AL13+AO13</f>
        <v>97535.20000000001</v>
      </c>
    </row>
    <row r="14" spans="1:42" s="262" customFormat="1" ht="18.75" customHeight="1">
      <c r="A14" s="359" t="s">
        <v>99</v>
      </c>
      <c r="B14" s="360">
        <v>2892.4</v>
      </c>
      <c r="C14" s="263"/>
      <c r="D14" s="263"/>
      <c r="E14" s="263">
        <v>617.2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>
        <v>200</v>
      </c>
      <c r="S14" s="263"/>
      <c r="T14" s="263">
        <v>150</v>
      </c>
      <c r="U14" s="361"/>
      <c r="V14" s="263"/>
      <c r="W14" s="263"/>
      <c r="X14" s="263"/>
      <c r="Y14" s="263"/>
      <c r="Z14" s="362"/>
      <c r="AA14" s="363"/>
      <c r="AB14" s="358">
        <f t="shared" si="2"/>
        <v>3859.6000000000004</v>
      </c>
      <c r="AC14" s="364"/>
      <c r="AD14" s="263"/>
      <c r="AE14" s="263"/>
      <c r="AF14" s="263"/>
      <c r="AG14" s="361"/>
      <c r="AH14" s="263"/>
      <c r="AI14" s="362"/>
      <c r="AJ14" s="362"/>
      <c r="AK14" s="358">
        <f t="shared" si="3"/>
        <v>0</v>
      </c>
      <c r="AL14" s="365">
        <f t="shared" si="0"/>
        <v>3859.6000000000004</v>
      </c>
      <c r="AM14" s="366"/>
      <c r="AN14" s="367"/>
      <c r="AO14" s="368">
        <f t="shared" si="4"/>
        <v>0</v>
      </c>
      <c r="AP14" s="369">
        <f t="shared" si="5"/>
        <v>3859.6000000000004</v>
      </c>
    </row>
    <row r="15" spans="1:42" s="262" customFormat="1" ht="18.75" customHeight="1">
      <c r="A15" s="359" t="s">
        <v>98</v>
      </c>
      <c r="B15" s="360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361"/>
      <c r="V15" s="263"/>
      <c r="W15" s="263"/>
      <c r="X15" s="263"/>
      <c r="Y15" s="263"/>
      <c r="Z15" s="362"/>
      <c r="AA15" s="363"/>
      <c r="AB15" s="358">
        <f t="shared" si="2"/>
        <v>0</v>
      </c>
      <c r="AC15" s="364"/>
      <c r="AD15" s="263"/>
      <c r="AE15" s="263"/>
      <c r="AF15" s="263"/>
      <c r="AG15" s="361"/>
      <c r="AH15" s="263"/>
      <c r="AI15" s="362"/>
      <c r="AJ15" s="362"/>
      <c r="AK15" s="358">
        <f t="shared" si="3"/>
        <v>0</v>
      </c>
      <c r="AL15" s="365">
        <f t="shared" si="0"/>
        <v>0</v>
      </c>
      <c r="AM15" s="366"/>
      <c r="AN15" s="367"/>
      <c r="AO15" s="368">
        <f t="shared" si="4"/>
        <v>0</v>
      </c>
      <c r="AP15" s="369">
        <f t="shared" si="5"/>
        <v>0</v>
      </c>
    </row>
    <row r="16" spans="1:42" s="262" customFormat="1" ht="20.25" customHeight="1" hidden="1">
      <c r="A16" s="359" t="s">
        <v>101</v>
      </c>
      <c r="B16" s="360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362"/>
      <c r="AA16" s="363"/>
      <c r="AB16" s="358">
        <f t="shared" si="2"/>
        <v>0</v>
      </c>
      <c r="AC16" s="364"/>
      <c r="AD16" s="263"/>
      <c r="AE16" s="263"/>
      <c r="AF16" s="263"/>
      <c r="AG16" s="361"/>
      <c r="AH16" s="263"/>
      <c r="AI16" s="362"/>
      <c r="AJ16" s="362"/>
      <c r="AK16" s="358">
        <f t="shared" si="3"/>
        <v>0</v>
      </c>
      <c r="AL16" s="365">
        <f t="shared" si="0"/>
        <v>0</v>
      </c>
      <c r="AM16" s="366"/>
      <c r="AN16" s="367"/>
      <c r="AO16" s="368">
        <f t="shared" si="4"/>
        <v>0</v>
      </c>
      <c r="AP16" s="369">
        <f t="shared" si="5"/>
        <v>0</v>
      </c>
    </row>
    <row r="17" spans="1:44" s="262" customFormat="1" ht="18.75" customHeight="1">
      <c r="A17" s="359" t="s">
        <v>82</v>
      </c>
      <c r="B17" s="360">
        <v>13890.8</v>
      </c>
      <c r="C17" s="263"/>
      <c r="D17" s="263">
        <v>1356.4</v>
      </c>
      <c r="E17" s="263">
        <v>668.2</v>
      </c>
      <c r="F17" s="263">
        <v>181.8</v>
      </c>
      <c r="G17" s="263"/>
      <c r="H17" s="263"/>
      <c r="I17" s="263"/>
      <c r="J17" s="263"/>
      <c r="K17" s="263">
        <v>70</v>
      </c>
      <c r="L17" s="263"/>
      <c r="M17" s="263"/>
      <c r="N17" s="263">
        <v>261</v>
      </c>
      <c r="O17" s="263">
        <v>520</v>
      </c>
      <c r="P17" s="263"/>
      <c r="Q17" s="263">
        <v>340</v>
      </c>
      <c r="R17" s="263"/>
      <c r="S17" s="263">
        <v>922.4</v>
      </c>
      <c r="T17" s="263">
        <v>250</v>
      </c>
      <c r="U17" s="263">
        <v>375</v>
      </c>
      <c r="V17" s="263"/>
      <c r="W17" s="263"/>
      <c r="X17" s="263"/>
      <c r="Y17" s="263"/>
      <c r="Z17" s="362"/>
      <c r="AA17" s="370"/>
      <c r="AB17" s="358">
        <f t="shared" si="2"/>
        <v>18835.6</v>
      </c>
      <c r="AC17" s="364"/>
      <c r="AD17" s="263"/>
      <c r="AE17" s="415">
        <v>10438.1</v>
      </c>
      <c r="AF17" s="263"/>
      <c r="AG17" s="361">
        <v>1933</v>
      </c>
      <c r="AH17" s="263"/>
      <c r="AI17" s="362"/>
      <c r="AJ17" s="362"/>
      <c r="AK17" s="358">
        <f t="shared" si="3"/>
        <v>12371.1</v>
      </c>
      <c r="AL17" s="371">
        <f t="shared" si="0"/>
        <v>31206.699999999997</v>
      </c>
      <c r="AM17" s="366"/>
      <c r="AN17" s="367"/>
      <c r="AO17" s="368">
        <f t="shared" si="4"/>
        <v>0</v>
      </c>
      <c r="AP17" s="369">
        <f t="shared" si="5"/>
        <v>31206.699999999997</v>
      </c>
      <c r="AR17" s="262" t="s">
        <v>183</v>
      </c>
    </row>
    <row r="18" spans="1:42" s="262" customFormat="1" ht="18.75" customHeight="1">
      <c r="A18" s="359" t="s">
        <v>153</v>
      </c>
      <c r="B18" s="360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361"/>
      <c r="V18" s="263"/>
      <c r="W18" s="263"/>
      <c r="X18" s="263"/>
      <c r="Y18" s="263"/>
      <c r="Z18" s="362"/>
      <c r="AA18" s="370"/>
      <c r="AB18" s="358">
        <f t="shared" si="2"/>
        <v>0</v>
      </c>
      <c r="AC18" s="364"/>
      <c r="AD18" s="263"/>
      <c r="AE18" s="263"/>
      <c r="AF18" s="263"/>
      <c r="AG18" s="361"/>
      <c r="AH18" s="263"/>
      <c r="AI18" s="362"/>
      <c r="AJ18" s="362"/>
      <c r="AK18" s="358">
        <f t="shared" si="3"/>
        <v>0</v>
      </c>
      <c r="AL18" s="371">
        <f t="shared" si="0"/>
        <v>0</v>
      </c>
      <c r="AM18" s="366"/>
      <c r="AN18" s="367">
        <v>-6580.4</v>
      </c>
      <c r="AO18" s="368">
        <f t="shared" si="4"/>
        <v>-6580.4</v>
      </c>
      <c r="AP18" s="369">
        <f t="shared" si="5"/>
        <v>-6580.4</v>
      </c>
    </row>
    <row r="19" spans="1:42" s="262" customFormat="1" ht="18.75" customHeight="1" thickBot="1">
      <c r="A19" s="372" t="s">
        <v>152</v>
      </c>
      <c r="B19" s="373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5"/>
      <c r="V19" s="374"/>
      <c r="W19" s="374"/>
      <c r="X19" s="374"/>
      <c r="Y19" s="374"/>
      <c r="Z19" s="376"/>
      <c r="AA19" s="377"/>
      <c r="AB19" s="358">
        <f t="shared" si="2"/>
        <v>0</v>
      </c>
      <c r="AC19" s="378"/>
      <c r="AD19" s="374"/>
      <c r="AE19" s="374"/>
      <c r="AF19" s="374"/>
      <c r="AG19" s="375"/>
      <c r="AH19" s="374"/>
      <c r="AI19" s="376"/>
      <c r="AJ19" s="376"/>
      <c r="AK19" s="358">
        <f t="shared" si="3"/>
        <v>0</v>
      </c>
      <c r="AL19" s="371">
        <f>SUM(AB19,AK19-AA19)</f>
        <v>0</v>
      </c>
      <c r="AM19" s="366"/>
      <c r="AN19" s="367"/>
      <c r="AO19" s="368">
        <f t="shared" si="4"/>
        <v>0</v>
      </c>
      <c r="AP19" s="416">
        <f t="shared" si="5"/>
        <v>0</v>
      </c>
    </row>
    <row r="20" spans="1:42" s="385" customFormat="1" ht="25.5" customHeight="1" thickBot="1">
      <c r="A20" s="379" t="s">
        <v>122</v>
      </c>
      <c r="B20" s="380">
        <f>B5+B6+B7+B8+B9+B10+B11+B12+B13+B14+B15+B16+B17+B18+B19</f>
        <v>156995.1</v>
      </c>
      <c r="C20" s="254">
        <f aca="true" t="shared" si="6" ref="C20:AP20">C5+C6+C7+C8+C9+C10+C11+C12+C13+C14+C15+C16+C17+C18+C19</f>
        <v>6133.2</v>
      </c>
      <c r="D20" s="254">
        <f t="shared" si="6"/>
        <v>7476.699999999999</v>
      </c>
      <c r="E20" s="254">
        <f t="shared" si="6"/>
        <v>1443.6000000000001</v>
      </c>
      <c r="F20" s="254">
        <f t="shared" si="6"/>
        <v>3668.3</v>
      </c>
      <c r="G20" s="254">
        <f t="shared" si="6"/>
        <v>282</v>
      </c>
      <c r="H20" s="254">
        <f>H5+H6+H7+H8+H9+H10+H11+H12+H13+H14+H15+H16+H17+H18+H19</f>
        <v>193.6</v>
      </c>
      <c r="I20" s="254">
        <f>I5+I6+I7+I8+I9+I10+I11+I12+I13+I14+I15+I16+I17+I18+I19</f>
        <v>0</v>
      </c>
      <c r="J20" s="254">
        <f t="shared" si="6"/>
        <v>609.6</v>
      </c>
      <c r="K20" s="254">
        <f t="shared" si="6"/>
        <v>173.6</v>
      </c>
      <c r="L20" s="254">
        <f t="shared" si="6"/>
        <v>1190</v>
      </c>
      <c r="M20" s="254">
        <f t="shared" si="6"/>
        <v>6954.400000000001</v>
      </c>
      <c r="N20" s="254">
        <f t="shared" si="6"/>
        <v>4128.4</v>
      </c>
      <c r="O20" s="254">
        <f t="shared" si="6"/>
        <v>17780.100000000002</v>
      </c>
      <c r="P20" s="254">
        <f t="shared" si="6"/>
        <v>221</v>
      </c>
      <c r="Q20" s="254">
        <f t="shared" si="6"/>
        <v>3027.5</v>
      </c>
      <c r="R20" s="254">
        <f t="shared" si="6"/>
        <v>200</v>
      </c>
      <c r="S20" s="254">
        <f t="shared" si="6"/>
        <v>41073.8</v>
      </c>
      <c r="T20" s="254">
        <f t="shared" si="6"/>
        <v>2811.9</v>
      </c>
      <c r="U20" s="381">
        <f t="shared" si="6"/>
        <v>813</v>
      </c>
      <c r="V20" s="254">
        <f t="shared" si="6"/>
        <v>0</v>
      </c>
      <c r="W20" s="254">
        <f t="shared" si="6"/>
        <v>0</v>
      </c>
      <c r="X20" s="254">
        <f t="shared" si="6"/>
        <v>7631.7</v>
      </c>
      <c r="Y20" s="381">
        <f t="shared" si="6"/>
        <v>4970</v>
      </c>
      <c r="Z20" s="254">
        <f t="shared" si="6"/>
        <v>3997.6</v>
      </c>
      <c r="AA20" s="382">
        <f t="shared" si="6"/>
        <v>0</v>
      </c>
      <c r="AB20" s="256">
        <f t="shared" si="6"/>
        <v>271775.10000000003</v>
      </c>
      <c r="AC20" s="253">
        <f t="shared" si="6"/>
        <v>0</v>
      </c>
      <c r="AD20" s="254">
        <f t="shared" si="6"/>
        <v>4037.2</v>
      </c>
      <c r="AE20" s="254">
        <f t="shared" si="6"/>
        <v>19472.5</v>
      </c>
      <c r="AF20" s="254">
        <f t="shared" si="6"/>
        <v>0</v>
      </c>
      <c r="AG20" s="381">
        <f t="shared" si="6"/>
        <v>4073</v>
      </c>
      <c r="AH20" s="254">
        <f t="shared" si="6"/>
        <v>5221.6</v>
      </c>
      <c r="AI20" s="254">
        <f t="shared" si="6"/>
        <v>560</v>
      </c>
      <c r="AJ20" s="383">
        <f t="shared" si="6"/>
        <v>2000</v>
      </c>
      <c r="AK20" s="256">
        <f t="shared" si="6"/>
        <v>35364.299999999996</v>
      </c>
      <c r="AL20" s="253">
        <f t="shared" si="6"/>
        <v>307139.39999999997</v>
      </c>
      <c r="AM20" s="254">
        <f t="shared" si="6"/>
        <v>0</v>
      </c>
      <c r="AN20" s="255">
        <f t="shared" si="6"/>
        <v>-6580.4</v>
      </c>
      <c r="AO20" s="384">
        <f t="shared" si="6"/>
        <v>-6580.4</v>
      </c>
      <c r="AP20" s="256">
        <f t="shared" si="6"/>
        <v>300558.99999999994</v>
      </c>
    </row>
    <row r="21" spans="1:42" s="262" customFormat="1" ht="17.25" customHeight="1">
      <c r="A21" s="386" t="s">
        <v>132</v>
      </c>
      <c r="B21" s="387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>
        <f>'hoaki dram18'!E6</f>
        <v>23175.7</v>
      </c>
      <c r="W21" s="261"/>
      <c r="X21" s="261"/>
      <c r="Y21" s="261"/>
      <c r="Z21" s="388"/>
      <c r="AA21" s="363"/>
      <c r="AB21" s="358">
        <f aca="true" t="shared" si="7" ref="AB21:AB44">SUM(B21:Z21)</f>
        <v>23175.7</v>
      </c>
      <c r="AC21" s="364"/>
      <c r="AD21" s="261"/>
      <c r="AE21" s="261"/>
      <c r="AF21" s="261"/>
      <c r="AG21" s="261"/>
      <c r="AH21" s="261"/>
      <c r="AI21" s="388"/>
      <c r="AJ21" s="388"/>
      <c r="AK21" s="358">
        <f aca="true" t="shared" si="8" ref="AK21:AK32">SUM(AC21+AD21+AE21+AF21+AG21+AH21+AJ21)</f>
        <v>0</v>
      </c>
      <c r="AL21" s="365">
        <f aca="true" t="shared" si="9" ref="AL21:AL32">SUM(AB21,AK21)</f>
        <v>23175.7</v>
      </c>
      <c r="AM21" s="366"/>
      <c r="AN21" s="367"/>
      <c r="AO21" s="368">
        <f t="shared" si="4"/>
        <v>0</v>
      </c>
      <c r="AP21" s="417">
        <f t="shared" si="5"/>
        <v>23175.7</v>
      </c>
    </row>
    <row r="22" spans="1:42" s="262" customFormat="1" ht="17.25" customHeight="1">
      <c r="A22" s="386" t="s">
        <v>131</v>
      </c>
      <c r="B22" s="360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1">
        <f>'hoaki dram18'!E7</f>
        <v>18049.3</v>
      </c>
      <c r="W22" s="263"/>
      <c r="X22" s="263"/>
      <c r="Y22" s="263"/>
      <c r="Z22" s="362"/>
      <c r="AA22" s="363"/>
      <c r="AB22" s="358">
        <f t="shared" si="7"/>
        <v>18049.3</v>
      </c>
      <c r="AC22" s="364"/>
      <c r="AD22" s="263"/>
      <c r="AE22" s="263"/>
      <c r="AF22" s="263"/>
      <c r="AG22" s="263"/>
      <c r="AH22" s="263"/>
      <c r="AI22" s="362"/>
      <c r="AJ22" s="362"/>
      <c r="AK22" s="358">
        <f t="shared" si="8"/>
        <v>0</v>
      </c>
      <c r="AL22" s="365">
        <f t="shared" si="9"/>
        <v>18049.3</v>
      </c>
      <c r="AM22" s="366"/>
      <c r="AN22" s="367"/>
      <c r="AO22" s="368">
        <f t="shared" si="4"/>
        <v>0</v>
      </c>
      <c r="AP22" s="369">
        <f t="shared" si="5"/>
        <v>18049.3</v>
      </c>
    </row>
    <row r="23" spans="1:42" s="262" customFormat="1" ht="17.25" customHeight="1">
      <c r="A23" s="386" t="s">
        <v>130</v>
      </c>
      <c r="B23" s="360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1">
        <f>'hoaki dram18'!E8</f>
        <v>17784.3</v>
      </c>
      <c r="W23" s="263"/>
      <c r="X23" s="263"/>
      <c r="Y23" s="263"/>
      <c r="Z23" s="362"/>
      <c r="AA23" s="363"/>
      <c r="AB23" s="358">
        <f t="shared" si="7"/>
        <v>17784.3</v>
      </c>
      <c r="AC23" s="364"/>
      <c r="AD23" s="263"/>
      <c r="AE23" s="263"/>
      <c r="AF23" s="263"/>
      <c r="AG23" s="263"/>
      <c r="AH23" s="263"/>
      <c r="AI23" s="362"/>
      <c r="AJ23" s="362"/>
      <c r="AK23" s="358">
        <f t="shared" si="8"/>
        <v>0</v>
      </c>
      <c r="AL23" s="365">
        <f t="shared" si="9"/>
        <v>17784.3</v>
      </c>
      <c r="AM23" s="366"/>
      <c r="AN23" s="367"/>
      <c r="AO23" s="368">
        <f t="shared" si="4"/>
        <v>0</v>
      </c>
      <c r="AP23" s="369">
        <f t="shared" si="5"/>
        <v>17784.3</v>
      </c>
    </row>
    <row r="24" spans="1:42" s="262" customFormat="1" ht="17.25" customHeight="1">
      <c r="A24" s="386" t="s">
        <v>129</v>
      </c>
      <c r="B24" s="360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1">
        <f>'hoaki dram18'!E9</f>
        <v>30470.3</v>
      </c>
      <c r="W24" s="263"/>
      <c r="X24" s="263"/>
      <c r="Y24" s="263"/>
      <c r="Z24" s="362"/>
      <c r="AA24" s="363"/>
      <c r="AB24" s="358">
        <f t="shared" si="7"/>
        <v>30470.3</v>
      </c>
      <c r="AC24" s="364"/>
      <c r="AD24" s="263"/>
      <c r="AE24" s="263"/>
      <c r="AF24" s="263"/>
      <c r="AG24" s="263"/>
      <c r="AH24" s="263"/>
      <c r="AI24" s="362"/>
      <c r="AJ24" s="362"/>
      <c r="AK24" s="358">
        <f t="shared" si="8"/>
        <v>0</v>
      </c>
      <c r="AL24" s="365">
        <f t="shared" si="9"/>
        <v>30470.3</v>
      </c>
      <c r="AM24" s="366"/>
      <c r="AN24" s="367"/>
      <c r="AO24" s="368">
        <f t="shared" si="4"/>
        <v>0</v>
      </c>
      <c r="AP24" s="369">
        <f t="shared" si="5"/>
        <v>30470.3</v>
      </c>
    </row>
    <row r="25" spans="1:42" s="262" customFormat="1" ht="17.25" customHeight="1">
      <c r="A25" s="386" t="s">
        <v>128</v>
      </c>
      <c r="B25" s="360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1">
        <f>'hoaki dram18'!E10</f>
        <v>18086.2</v>
      </c>
      <c r="W25" s="263"/>
      <c r="X25" s="263"/>
      <c r="Y25" s="263"/>
      <c r="Z25" s="362"/>
      <c r="AA25" s="363"/>
      <c r="AB25" s="358">
        <f t="shared" si="7"/>
        <v>18086.2</v>
      </c>
      <c r="AC25" s="364"/>
      <c r="AD25" s="263"/>
      <c r="AE25" s="263"/>
      <c r="AF25" s="263"/>
      <c r="AG25" s="263"/>
      <c r="AH25" s="263"/>
      <c r="AI25" s="362"/>
      <c r="AJ25" s="362"/>
      <c r="AK25" s="358">
        <f t="shared" si="8"/>
        <v>0</v>
      </c>
      <c r="AL25" s="365">
        <f t="shared" si="9"/>
        <v>18086.2</v>
      </c>
      <c r="AM25" s="366"/>
      <c r="AN25" s="367"/>
      <c r="AO25" s="368">
        <f t="shared" si="4"/>
        <v>0</v>
      </c>
      <c r="AP25" s="369">
        <f t="shared" si="5"/>
        <v>18086.2</v>
      </c>
    </row>
    <row r="26" spans="1:42" s="262" customFormat="1" ht="17.25" customHeight="1">
      <c r="A26" s="386" t="s">
        <v>133</v>
      </c>
      <c r="B26" s="360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1">
        <f>'hoaki dram18'!E11</f>
        <v>23083.4</v>
      </c>
      <c r="W26" s="263"/>
      <c r="X26" s="263"/>
      <c r="Y26" s="263"/>
      <c r="Z26" s="362"/>
      <c r="AA26" s="363"/>
      <c r="AB26" s="358">
        <f t="shared" si="7"/>
        <v>23083.4</v>
      </c>
      <c r="AC26" s="364"/>
      <c r="AD26" s="263"/>
      <c r="AE26" s="263"/>
      <c r="AF26" s="263"/>
      <c r="AG26" s="263"/>
      <c r="AH26" s="263"/>
      <c r="AI26" s="362"/>
      <c r="AJ26" s="362"/>
      <c r="AK26" s="358">
        <f t="shared" si="8"/>
        <v>0</v>
      </c>
      <c r="AL26" s="365">
        <f t="shared" si="9"/>
        <v>23083.4</v>
      </c>
      <c r="AM26" s="366"/>
      <c r="AN26" s="367"/>
      <c r="AO26" s="368">
        <f t="shared" si="4"/>
        <v>0</v>
      </c>
      <c r="AP26" s="369">
        <f t="shared" si="5"/>
        <v>23083.4</v>
      </c>
    </row>
    <row r="27" spans="1:42" s="262" customFormat="1" ht="17.25" customHeight="1">
      <c r="A27" s="386" t="s">
        <v>134</v>
      </c>
      <c r="B27" s="360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1">
        <f>'hoaki dram18'!E12</f>
        <v>23754.2</v>
      </c>
      <c r="W27" s="263"/>
      <c r="X27" s="263"/>
      <c r="Y27" s="263"/>
      <c r="Z27" s="362"/>
      <c r="AA27" s="363"/>
      <c r="AB27" s="358">
        <f t="shared" si="7"/>
        <v>23754.2</v>
      </c>
      <c r="AC27" s="364"/>
      <c r="AD27" s="263"/>
      <c r="AE27" s="263"/>
      <c r="AF27" s="263"/>
      <c r="AG27" s="263"/>
      <c r="AH27" s="263"/>
      <c r="AI27" s="362"/>
      <c r="AJ27" s="362"/>
      <c r="AK27" s="358">
        <f t="shared" si="8"/>
        <v>0</v>
      </c>
      <c r="AL27" s="365">
        <f t="shared" si="9"/>
        <v>23754.2</v>
      </c>
      <c r="AM27" s="366"/>
      <c r="AN27" s="367"/>
      <c r="AO27" s="368">
        <f t="shared" si="4"/>
        <v>0</v>
      </c>
      <c r="AP27" s="369">
        <f t="shared" si="5"/>
        <v>23754.2</v>
      </c>
    </row>
    <row r="28" spans="1:42" s="262" customFormat="1" ht="17.25" customHeight="1">
      <c r="A28" s="386" t="s">
        <v>135</v>
      </c>
      <c r="B28" s="360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1">
        <f>'hoaki dram18'!E13</f>
        <v>30480.9</v>
      </c>
      <c r="W28" s="263"/>
      <c r="X28" s="263"/>
      <c r="Y28" s="263"/>
      <c r="Z28" s="362"/>
      <c r="AA28" s="363"/>
      <c r="AB28" s="358">
        <f t="shared" si="7"/>
        <v>30480.9</v>
      </c>
      <c r="AC28" s="364"/>
      <c r="AD28" s="263"/>
      <c r="AE28" s="263"/>
      <c r="AF28" s="263"/>
      <c r="AG28" s="263"/>
      <c r="AH28" s="263"/>
      <c r="AI28" s="362"/>
      <c r="AJ28" s="362"/>
      <c r="AK28" s="358">
        <f t="shared" si="8"/>
        <v>0</v>
      </c>
      <c r="AL28" s="365">
        <f t="shared" si="9"/>
        <v>30480.9</v>
      </c>
      <c r="AM28" s="366"/>
      <c r="AN28" s="367"/>
      <c r="AO28" s="368">
        <f t="shared" si="4"/>
        <v>0</v>
      </c>
      <c r="AP28" s="369">
        <f t="shared" si="5"/>
        <v>30480.9</v>
      </c>
    </row>
    <row r="29" spans="1:42" s="262" customFormat="1" ht="17.25" customHeight="1">
      <c r="A29" s="386" t="s">
        <v>136</v>
      </c>
      <c r="B29" s="360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1">
        <f>'hoaki dram18'!E14</f>
        <v>24007.8</v>
      </c>
      <c r="W29" s="263"/>
      <c r="X29" s="263"/>
      <c r="Y29" s="263"/>
      <c r="Z29" s="362"/>
      <c r="AA29" s="363"/>
      <c r="AB29" s="358">
        <f t="shared" si="7"/>
        <v>24007.8</v>
      </c>
      <c r="AC29" s="364"/>
      <c r="AD29" s="263"/>
      <c r="AE29" s="263"/>
      <c r="AF29" s="263"/>
      <c r="AG29" s="263"/>
      <c r="AH29" s="263"/>
      <c r="AI29" s="362"/>
      <c r="AJ29" s="362"/>
      <c r="AK29" s="358">
        <f t="shared" si="8"/>
        <v>0</v>
      </c>
      <c r="AL29" s="365">
        <f t="shared" si="9"/>
        <v>24007.8</v>
      </c>
      <c r="AM29" s="366"/>
      <c r="AN29" s="367"/>
      <c r="AO29" s="368">
        <f t="shared" si="4"/>
        <v>0</v>
      </c>
      <c r="AP29" s="369">
        <f t="shared" si="5"/>
        <v>24007.8</v>
      </c>
    </row>
    <row r="30" spans="1:42" s="262" customFormat="1" ht="17.25" customHeight="1">
      <c r="A30" s="386" t="s">
        <v>137</v>
      </c>
      <c r="B30" s="360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1">
        <f>'hoaki dram18'!E15</f>
        <v>28392.5</v>
      </c>
      <c r="W30" s="263"/>
      <c r="X30" s="263"/>
      <c r="Y30" s="263"/>
      <c r="Z30" s="362"/>
      <c r="AA30" s="363"/>
      <c r="AB30" s="358">
        <f t="shared" si="7"/>
        <v>28392.5</v>
      </c>
      <c r="AC30" s="364"/>
      <c r="AD30" s="263"/>
      <c r="AE30" s="263"/>
      <c r="AF30" s="263"/>
      <c r="AG30" s="263"/>
      <c r="AH30" s="263"/>
      <c r="AI30" s="362"/>
      <c r="AJ30" s="362"/>
      <c r="AK30" s="358">
        <f t="shared" si="8"/>
        <v>0</v>
      </c>
      <c r="AL30" s="365">
        <f t="shared" si="9"/>
        <v>28392.5</v>
      </c>
      <c r="AM30" s="366"/>
      <c r="AN30" s="367"/>
      <c r="AO30" s="368">
        <f t="shared" si="4"/>
        <v>0</v>
      </c>
      <c r="AP30" s="369">
        <f t="shared" si="5"/>
        <v>28392.5</v>
      </c>
    </row>
    <row r="31" spans="1:42" s="262" customFormat="1" ht="17.25" customHeight="1">
      <c r="A31" s="386" t="s">
        <v>138</v>
      </c>
      <c r="B31" s="360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1">
        <f>'hoaki dram18'!E16</f>
        <v>23794.8</v>
      </c>
      <c r="W31" s="263"/>
      <c r="X31" s="263"/>
      <c r="Y31" s="263"/>
      <c r="Z31" s="362"/>
      <c r="AA31" s="363"/>
      <c r="AB31" s="358">
        <f t="shared" si="7"/>
        <v>23794.8</v>
      </c>
      <c r="AC31" s="364"/>
      <c r="AD31" s="263"/>
      <c r="AE31" s="263"/>
      <c r="AF31" s="263"/>
      <c r="AG31" s="263"/>
      <c r="AH31" s="263"/>
      <c r="AI31" s="362"/>
      <c r="AJ31" s="362"/>
      <c r="AK31" s="358">
        <f t="shared" si="8"/>
        <v>0</v>
      </c>
      <c r="AL31" s="365">
        <f t="shared" si="9"/>
        <v>23794.8</v>
      </c>
      <c r="AM31" s="366"/>
      <c r="AN31" s="367"/>
      <c r="AO31" s="368">
        <f t="shared" si="4"/>
        <v>0</v>
      </c>
      <c r="AP31" s="369">
        <f t="shared" si="5"/>
        <v>23794.8</v>
      </c>
    </row>
    <row r="32" spans="1:42" s="262" customFormat="1" ht="17.25" customHeight="1" thickBot="1">
      <c r="A32" s="386" t="s">
        <v>139</v>
      </c>
      <c r="B32" s="389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1">
        <f>'hoaki dram18'!E17</f>
        <v>27055.7</v>
      </c>
      <c r="W32" s="264"/>
      <c r="X32" s="264"/>
      <c r="Y32" s="264"/>
      <c r="Z32" s="390"/>
      <c r="AA32" s="377"/>
      <c r="AB32" s="358">
        <f t="shared" si="7"/>
        <v>27055.7</v>
      </c>
      <c r="AC32" s="378"/>
      <c r="AD32" s="264"/>
      <c r="AE32" s="264"/>
      <c r="AF32" s="264"/>
      <c r="AG32" s="264"/>
      <c r="AH32" s="264"/>
      <c r="AI32" s="390"/>
      <c r="AJ32" s="390"/>
      <c r="AK32" s="358">
        <f t="shared" si="8"/>
        <v>0</v>
      </c>
      <c r="AL32" s="365">
        <f t="shared" si="9"/>
        <v>27055.7</v>
      </c>
      <c r="AM32" s="366"/>
      <c r="AN32" s="367"/>
      <c r="AO32" s="368">
        <f t="shared" si="4"/>
        <v>0</v>
      </c>
      <c r="AP32" s="416">
        <f t="shared" si="5"/>
        <v>27055.7</v>
      </c>
    </row>
    <row r="33" spans="1:42" s="257" customFormat="1" ht="18.75" customHeight="1" thickBot="1">
      <c r="A33" s="391" t="s">
        <v>141</v>
      </c>
      <c r="B33" s="380">
        <f>SUM(B21:B32)</f>
        <v>0</v>
      </c>
      <c r="C33" s="254">
        <f aca="true" t="shared" si="10" ref="C33:AP33">SUM(C21:C32)</f>
        <v>0</v>
      </c>
      <c r="D33" s="254">
        <f t="shared" si="10"/>
        <v>0</v>
      </c>
      <c r="E33" s="254">
        <f t="shared" si="10"/>
        <v>0</v>
      </c>
      <c r="F33" s="254">
        <f t="shared" si="10"/>
        <v>0</v>
      </c>
      <c r="G33" s="254">
        <f t="shared" si="10"/>
        <v>0</v>
      </c>
      <c r="H33" s="254">
        <f t="shared" si="10"/>
        <v>0</v>
      </c>
      <c r="I33" s="254">
        <f t="shared" si="10"/>
        <v>0</v>
      </c>
      <c r="J33" s="254">
        <f t="shared" si="10"/>
        <v>0</v>
      </c>
      <c r="K33" s="254">
        <f t="shared" si="10"/>
        <v>0</v>
      </c>
      <c r="L33" s="254">
        <f t="shared" si="10"/>
        <v>0</v>
      </c>
      <c r="M33" s="254">
        <f t="shared" si="10"/>
        <v>0</v>
      </c>
      <c r="N33" s="254">
        <f t="shared" si="10"/>
        <v>0</v>
      </c>
      <c r="O33" s="254">
        <f t="shared" si="10"/>
        <v>0</v>
      </c>
      <c r="P33" s="254">
        <f t="shared" si="10"/>
        <v>0</v>
      </c>
      <c r="Q33" s="254">
        <f t="shared" si="10"/>
        <v>0</v>
      </c>
      <c r="R33" s="254">
        <f t="shared" si="10"/>
        <v>0</v>
      </c>
      <c r="S33" s="254">
        <f t="shared" si="10"/>
        <v>0</v>
      </c>
      <c r="T33" s="254">
        <f t="shared" si="10"/>
        <v>0</v>
      </c>
      <c r="U33" s="254">
        <f>SUM(U21:U32)</f>
        <v>0</v>
      </c>
      <c r="V33" s="254">
        <f>SUM(V21:V32)</f>
        <v>288135.1</v>
      </c>
      <c r="W33" s="254">
        <f>SUM(W21:W32)</f>
        <v>0</v>
      </c>
      <c r="X33" s="254">
        <f t="shared" si="10"/>
        <v>0</v>
      </c>
      <c r="Y33" s="254">
        <f t="shared" si="10"/>
        <v>0</v>
      </c>
      <c r="Z33" s="254">
        <f t="shared" si="10"/>
        <v>0</v>
      </c>
      <c r="AA33" s="382">
        <f t="shared" si="10"/>
        <v>0</v>
      </c>
      <c r="AB33" s="256">
        <f t="shared" si="10"/>
        <v>288135.1</v>
      </c>
      <c r="AC33" s="253">
        <f t="shared" si="10"/>
        <v>0</v>
      </c>
      <c r="AD33" s="254">
        <f t="shared" si="10"/>
        <v>0</v>
      </c>
      <c r="AE33" s="254">
        <f t="shared" si="10"/>
        <v>0</v>
      </c>
      <c r="AF33" s="254">
        <f t="shared" si="10"/>
        <v>0</v>
      </c>
      <c r="AG33" s="254">
        <f t="shared" si="10"/>
        <v>0</v>
      </c>
      <c r="AH33" s="254">
        <f t="shared" si="10"/>
        <v>0</v>
      </c>
      <c r="AI33" s="254">
        <f t="shared" si="10"/>
        <v>0</v>
      </c>
      <c r="AJ33" s="255">
        <f t="shared" si="10"/>
        <v>0</v>
      </c>
      <c r="AK33" s="256">
        <f t="shared" si="10"/>
        <v>0</v>
      </c>
      <c r="AL33" s="253">
        <f t="shared" si="10"/>
        <v>288135.1</v>
      </c>
      <c r="AM33" s="254">
        <f t="shared" si="10"/>
        <v>0</v>
      </c>
      <c r="AN33" s="384">
        <f t="shared" si="10"/>
        <v>0</v>
      </c>
      <c r="AO33" s="384">
        <f t="shared" si="10"/>
        <v>0</v>
      </c>
      <c r="AP33" s="256">
        <f t="shared" si="10"/>
        <v>288135.1</v>
      </c>
    </row>
    <row r="34" spans="1:42" s="262" customFormat="1" ht="18.75" customHeight="1">
      <c r="A34" s="359" t="s">
        <v>21</v>
      </c>
      <c r="B34" s="387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>
        <f>'hoaki dram18'!E19</f>
        <v>40433.4</v>
      </c>
      <c r="W34" s="261"/>
      <c r="X34" s="261"/>
      <c r="Y34" s="261"/>
      <c r="Z34" s="388"/>
      <c r="AA34" s="363"/>
      <c r="AB34" s="358">
        <f t="shared" si="7"/>
        <v>40433.4</v>
      </c>
      <c r="AC34" s="364"/>
      <c r="AD34" s="261"/>
      <c r="AE34" s="261"/>
      <c r="AF34" s="261"/>
      <c r="AG34" s="261"/>
      <c r="AH34" s="261"/>
      <c r="AI34" s="388"/>
      <c r="AJ34" s="388"/>
      <c r="AK34" s="358">
        <f>SUM(AC34+AD34+AE34+AF34+AG34+AH34+AJ34)</f>
        <v>0</v>
      </c>
      <c r="AL34" s="365">
        <f>SUM(AB34,AK34)</f>
        <v>40433.4</v>
      </c>
      <c r="AM34" s="366"/>
      <c r="AN34" s="367"/>
      <c r="AO34" s="368">
        <f t="shared" si="4"/>
        <v>0</v>
      </c>
      <c r="AP34" s="417">
        <f t="shared" si="5"/>
        <v>40433.4</v>
      </c>
    </row>
    <row r="35" spans="1:42" s="262" customFormat="1" ht="18.75" customHeight="1">
      <c r="A35" s="392" t="s">
        <v>126</v>
      </c>
      <c r="B35" s="360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1">
        <f>'hoaki dram18'!E20</f>
        <v>19498.2</v>
      </c>
      <c r="W35" s="261"/>
      <c r="X35" s="263"/>
      <c r="Y35" s="263"/>
      <c r="Z35" s="362"/>
      <c r="AA35" s="363"/>
      <c r="AB35" s="358">
        <f t="shared" si="7"/>
        <v>19498.2</v>
      </c>
      <c r="AC35" s="364"/>
      <c r="AD35" s="263"/>
      <c r="AE35" s="263"/>
      <c r="AF35" s="263"/>
      <c r="AG35" s="263"/>
      <c r="AH35" s="263"/>
      <c r="AI35" s="362"/>
      <c r="AJ35" s="362"/>
      <c r="AK35" s="358">
        <f>SUM(AC35+AD35+AE35+AF35+AG35+AH35+AJ35)</f>
        <v>0</v>
      </c>
      <c r="AL35" s="365">
        <f>SUM(AB35,AK35)</f>
        <v>19498.2</v>
      </c>
      <c r="AM35" s="366"/>
      <c r="AN35" s="367"/>
      <c r="AO35" s="368">
        <f t="shared" si="4"/>
        <v>0</v>
      </c>
      <c r="AP35" s="369">
        <f t="shared" si="5"/>
        <v>19498.2</v>
      </c>
    </row>
    <row r="36" spans="1:42" s="262" customFormat="1" ht="18.75" customHeight="1">
      <c r="A36" s="359" t="s">
        <v>127</v>
      </c>
      <c r="B36" s="360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1">
        <f>'hoaki dram18'!E21</f>
        <v>25630.5</v>
      </c>
      <c r="W36" s="263"/>
      <c r="X36" s="263"/>
      <c r="Y36" s="263"/>
      <c r="Z36" s="362"/>
      <c r="AA36" s="363"/>
      <c r="AB36" s="358">
        <f t="shared" si="7"/>
        <v>25630.5</v>
      </c>
      <c r="AC36" s="364"/>
      <c r="AD36" s="263"/>
      <c r="AE36" s="263"/>
      <c r="AF36" s="263"/>
      <c r="AG36" s="263"/>
      <c r="AH36" s="263"/>
      <c r="AI36" s="362"/>
      <c r="AJ36" s="362"/>
      <c r="AK36" s="358">
        <f>SUM(AC36+AD36+AE36+AF36+AG36+AH36+AJ36)</f>
        <v>0</v>
      </c>
      <c r="AL36" s="365">
        <f>SUM(AB36,AK36)</f>
        <v>25630.5</v>
      </c>
      <c r="AM36" s="366"/>
      <c r="AN36" s="367"/>
      <c r="AO36" s="368">
        <f t="shared" si="4"/>
        <v>0</v>
      </c>
      <c r="AP36" s="369">
        <f t="shared" si="5"/>
        <v>25630.5</v>
      </c>
    </row>
    <row r="37" spans="1:42" s="262" customFormat="1" ht="18.75" customHeight="1">
      <c r="A37" s="359" t="s">
        <v>97</v>
      </c>
      <c r="B37" s="360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1">
        <f>'hoaki dram18'!E22</f>
        <v>14928.7</v>
      </c>
      <c r="W37" s="263"/>
      <c r="X37" s="263"/>
      <c r="Y37" s="263"/>
      <c r="Z37" s="362"/>
      <c r="AA37" s="363"/>
      <c r="AB37" s="358">
        <f t="shared" si="7"/>
        <v>14928.7</v>
      </c>
      <c r="AC37" s="364"/>
      <c r="AD37" s="263"/>
      <c r="AE37" s="263"/>
      <c r="AF37" s="263"/>
      <c r="AG37" s="263"/>
      <c r="AH37" s="263"/>
      <c r="AI37" s="362"/>
      <c r="AJ37" s="362"/>
      <c r="AK37" s="358">
        <f>SUM(AC37+AD37+AE37+AF37+AG37+AH37+AJ37)</f>
        <v>0</v>
      </c>
      <c r="AL37" s="365">
        <f>SUM(AB37,AK37)</f>
        <v>14928.7</v>
      </c>
      <c r="AM37" s="366"/>
      <c r="AN37" s="367"/>
      <c r="AO37" s="368">
        <f t="shared" si="4"/>
        <v>0</v>
      </c>
      <c r="AP37" s="369">
        <f t="shared" si="5"/>
        <v>14928.7</v>
      </c>
    </row>
    <row r="38" spans="1:42" s="262" customFormat="1" ht="18.75" customHeight="1" thickBot="1">
      <c r="A38" s="393" t="s">
        <v>47</v>
      </c>
      <c r="B38" s="389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1">
        <f>'hoaki dram18'!E23</f>
        <v>9786.8</v>
      </c>
      <c r="W38" s="264"/>
      <c r="X38" s="264"/>
      <c r="Y38" s="264"/>
      <c r="Z38" s="390"/>
      <c r="AA38" s="377"/>
      <c r="AB38" s="358">
        <f t="shared" si="7"/>
        <v>9786.8</v>
      </c>
      <c r="AC38" s="378"/>
      <c r="AD38" s="264"/>
      <c r="AE38" s="264"/>
      <c r="AF38" s="264"/>
      <c r="AG38" s="264"/>
      <c r="AH38" s="264"/>
      <c r="AI38" s="390"/>
      <c r="AJ38" s="390"/>
      <c r="AK38" s="358">
        <f>SUM(AC38+AD38+AE38+AF38+AG38+AH38+AJ38)</f>
        <v>0</v>
      </c>
      <c r="AL38" s="365">
        <f>SUM(AB38,AK38)</f>
        <v>9786.8</v>
      </c>
      <c r="AM38" s="366"/>
      <c r="AN38" s="367"/>
      <c r="AO38" s="368">
        <f t="shared" si="4"/>
        <v>0</v>
      </c>
      <c r="AP38" s="416">
        <f t="shared" si="5"/>
        <v>9786.8</v>
      </c>
    </row>
    <row r="39" spans="1:42" s="257" customFormat="1" ht="19.5" customHeight="1" thickBot="1">
      <c r="A39" s="394" t="s">
        <v>142</v>
      </c>
      <c r="B39" s="380">
        <f>SUM(B34:B38)</f>
        <v>0</v>
      </c>
      <c r="C39" s="254">
        <f aca="true" t="shared" si="11" ref="C39:AP39">SUM(C34:C38)</f>
        <v>0</v>
      </c>
      <c r="D39" s="254">
        <f t="shared" si="11"/>
        <v>0</v>
      </c>
      <c r="E39" s="254">
        <f t="shared" si="11"/>
        <v>0</v>
      </c>
      <c r="F39" s="254">
        <f t="shared" si="11"/>
        <v>0</v>
      </c>
      <c r="G39" s="254">
        <f t="shared" si="11"/>
        <v>0</v>
      </c>
      <c r="H39" s="254">
        <f t="shared" si="11"/>
        <v>0</v>
      </c>
      <c r="I39" s="254">
        <f t="shared" si="11"/>
        <v>0</v>
      </c>
      <c r="J39" s="254">
        <f t="shared" si="11"/>
        <v>0</v>
      </c>
      <c r="K39" s="254">
        <f t="shared" si="11"/>
        <v>0</v>
      </c>
      <c r="L39" s="254">
        <f t="shared" si="11"/>
        <v>0</v>
      </c>
      <c r="M39" s="254">
        <f t="shared" si="11"/>
        <v>0</v>
      </c>
      <c r="N39" s="254">
        <f t="shared" si="11"/>
        <v>0</v>
      </c>
      <c r="O39" s="254">
        <f t="shared" si="11"/>
        <v>0</v>
      </c>
      <c r="P39" s="254">
        <f t="shared" si="11"/>
        <v>0</v>
      </c>
      <c r="Q39" s="254">
        <f t="shared" si="11"/>
        <v>0</v>
      </c>
      <c r="R39" s="254">
        <f t="shared" si="11"/>
        <v>0</v>
      </c>
      <c r="S39" s="254">
        <f t="shared" si="11"/>
        <v>0</v>
      </c>
      <c r="T39" s="254">
        <f t="shared" si="11"/>
        <v>0</v>
      </c>
      <c r="U39" s="254">
        <f>SUM(U34:U38)</f>
        <v>0</v>
      </c>
      <c r="V39" s="254">
        <f>SUM(V34:V38)</f>
        <v>110277.6</v>
      </c>
      <c r="W39" s="254">
        <f>SUM(W34:W38)</f>
        <v>0</v>
      </c>
      <c r="X39" s="254">
        <f t="shared" si="11"/>
        <v>0</v>
      </c>
      <c r="Y39" s="254">
        <f t="shared" si="11"/>
        <v>0</v>
      </c>
      <c r="Z39" s="255">
        <f t="shared" si="11"/>
        <v>0</v>
      </c>
      <c r="AA39" s="382">
        <f t="shared" si="11"/>
        <v>0</v>
      </c>
      <c r="AB39" s="256">
        <f t="shared" si="11"/>
        <v>110277.6</v>
      </c>
      <c r="AC39" s="395"/>
      <c r="AD39" s="254">
        <f t="shared" si="11"/>
        <v>0</v>
      </c>
      <c r="AE39" s="254">
        <f t="shared" si="11"/>
        <v>0</v>
      </c>
      <c r="AF39" s="254">
        <f t="shared" si="11"/>
        <v>0</v>
      </c>
      <c r="AG39" s="254">
        <f t="shared" si="11"/>
        <v>0</v>
      </c>
      <c r="AH39" s="254">
        <f t="shared" si="11"/>
        <v>0</v>
      </c>
      <c r="AI39" s="254">
        <f t="shared" si="11"/>
        <v>0</v>
      </c>
      <c r="AJ39" s="255">
        <f t="shared" si="11"/>
        <v>0</v>
      </c>
      <c r="AK39" s="256">
        <f t="shared" si="11"/>
        <v>0</v>
      </c>
      <c r="AL39" s="253">
        <f t="shared" si="11"/>
        <v>110277.6</v>
      </c>
      <c r="AM39" s="384">
        <f t="shared" si="11"/>
        <v>0</v>
      </c>
      <c r="AN39" s="384">
        <f t="shared" si="11"/>
        <v>0</v>
      </c>
      <c r="AO39" s="384">
        <f t="shared" si="11"/>
        <v>0</v>
      </c>
      <c r="AP39" s="256">
        <f t="shared" si="11"/>
        <v>110277.6</v>
      </c>
    </row>
    <row r="40" spans="1:42" s="262" customFormat="1" ht="18" customHeight="1">
      <c r="A40" s="386" t="s">
        <v>143</v>
      </c>
      <c r="B40" s="387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>
        <f>'hoaki dram18'!E25</f>
        <v>18662.6</v>
      </c>
      <c r="W40" s="261"/>
      <c r="X40" s="261"/>
      <c r="Y40" s="261"/>
      <c r="Z40" s="388"/>
      <c r="AA40" s="363"/>
      <c r="AB40" s="358">
        <f t="shared" si="7"/>
        <v>18662.6</v>
      </c>
      <c r="AC40" s="364"/>
      <c r="AD40" s="261"/>
      <c r="AE40" s="261"/>
      <c r="AF40" s="261"/>
      <c r="AG40" s="261"/>
      <c r="AH40" s="388"/>
      <c r="AI40" s="388"/>
      <c r="AJ40" s="388"/>
      <c r="AK40" s="358">
        <f>SUM(AC40+AD40+AE40+AF40+AG40+AH40+AJ40)</f>
        <v>0</v>
      </c>
      <c r="AL40" s="365">
        <f>SUM(AB40,AK40)</f>
        <v>18662.6</v>
      </c>
      <c r="AM40" s="366"/>
      <c r="AN40" s="367"/>
      <c r="AO40" s="368">
        <f t="shared" si="4"/>
        <v>0</v>
      </c>
      <c r="AP40" s="417">
        <f t="shared" si="5"/>
        <v>18662.6</v>
      </c>
    </row>
    <row r="41" spans="1:42" s="262" customFormat="1" ht="18" customHeight="1">
      <c r="A41" s="359" t="s">
        <v>144</v>
      </c>
      <c r="B41" s="360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1">
        <f>'hoaki dram18'!E26</f>
        <v>12668.8</v>
      </c>
      <c r="W41" s="263"/>
      <c r="X41" s="263"/>
      <c r="Y41" s="263"/>
      <c r="Z41" s="362"/>
      <c r="AA41" s="363"/>
      <c r="AB41" s="358">
        <f t="shared" si="7"/>
        <v>12668.8</v>
      </c>
      <c r="AC41" s="364"/>
      <c r="AD41" s="263"/>
      <c r="AE41" s="263"/>
      <c r="AF41" s="263"/>
      <c r="AG41" s="263"/>
      <c r="AH41" s="263"/>
      <c r="AI41" s="362"/>
      <c r="AJ41" s="362"/>
      <c r="AK41" s="358">
        <f>SUM(AC41+AD41+AE41+AF41+AG41+AH41+AJ41)</f>
        <v>0</v>
      </c>
      <c r="AL41" s="365">
        <f>SUM(AB41,AK41)</f>
        <v>12668.8</v>
      </c>
      <c r="AM41" s="366"/>
      <c r="AN41" s="367"/>
      <c r="AO41" s="368">
        <f t="shared" si="4"/>
        <v>0</v>
      </c>
      <c r="AP41" s="369">
        <f t="shared" si="5"/>
        <v>12668.8</v>
      </c>
    </row>
    <row r="42" spans="1:42" s="262" customFormat="1" ht="18" customHeight="1">
      <c r="A42" s="359" t="s">
        <v>145</v>
      </c>
      <c r="B42" s="360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1">
        <f>'hoaki dram18'!E27</f>
        <v>21619.4</v>
      </c>
      <c r="W42" s="263"/>
      <c r="X42" s="263"/>
      <c r="Y42" s="263"/>
      <c r="Z42" s="362"/>
      <c r="AA42" s="363"/>
      <c r="AB42" s="358">
        <f t="shared" si="7"/>
        <v>21619.4</v>
      </c>
      <c r="AC42" s="364"/>
      <c r="AD42" s="263"/>
      <c r="AE42" s="263"/>
      <c r="AF42" s="263"/>
      <c r="AG42" s="263"/>
      <c r="AH42" s="362"/>
      <c r="AI42" s="362"/>
      <c r="AJ42" s="362"/>
      <c r="AK42" s="358">
        <f>SUM(AC42+AD42+AE42+AF42+AG42+AH42+AJ42)</f>
        <v>0</v>
      </c>
      <c r="AL42" s="365">
        <f>SUM(AB42,AK42)</f>
        <v>21619.4</v>
      </c>
      <c r="AM42" s="366"/>
      <c r="AN42" s="367"/>
      <c r="AO42" s="368">
        <f t="shared" si="4"/>
        <v>0</v>
      </c>
      <c r="AP42" s="369">
        <f t="shared" si="5"/>
        <v>21619.4</v>
      </c>
    </row>
    <row r="43" spans="1:42" s="262" customFormat="1" ht="18" customHeight="1">
      <c r="A43" s="359" t="s">
        <v>146</v>
      </c>
      <c r="B43" s="360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1">
        <f>'hoaki dram18'!E28</f>
        <v>18126</v>
      </c>
      <c r="W43" s="263"/>
      <c r="X43" s="263"/>
      <c r="Y43" s="263"/>
      <c r="Z43" s="362"/>
      <c r="AA43" s="363"/>
      <c r="AB43" s="358">
        <f t="shared" si="7"/>
        <v>18126</v>
      </c>
      <c r="AC43" s="364"/>
      <c r="AD43" s="263"/>
      <c r="AE43" s="263"/>
      <c r="AF43" s="263"/>
      <c r="AG43" s="263"/>
      <c r="AH43" s="362"/>
      <c r="AI43" s="362"/>
      <c r="AJ43" s="362"/>
      <c r="AK43" s="358">
        <f>SUM(AC43+AD43+AE43+AF43+AG43+AH43+AJ43)</f>
        <v>0</v>
      </c>
      <c r="AL43" s="365">
        <f>SUM(AB43,AK43)</f>
        <v>18126</v>
      </c>
      <c r="AM43" s="366"/>
      <c r="AN43" s="367"/>
      <c r="AO43" s="368">
        <f t="shared" si="4"/>
        <v>0</v>
      </c>
      <c r="AP43" s="369">
        <f t="shared" si="5"/>
        <v>18126</v>
      </c>
    </row>
    <row r="44" spans="1:42" s="262" customFormat="1" ht="18" customHeight="1" thickBot="1">
      <c r="A44" s="359" t="s">
        <v>147</v>
      </c>
      <c r="B44" s="389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374">
        <f>'hoaki dram18'!E29</f>
        <v>26140.9</v>
      </c>
      <c r="W44" s="264"/>
      <c r="X44" s="264"/>
      <c r="Y44" s="264"/>
      <c r="Z44" s="390"/>
      <c r="AA44" s="377"/>
      <c r="AB44" s="396">
        <f t="shared" si="7"/>
        <v>26140.9</v>
      </c>
      <c r="AC44" s="378"/>
      <c r="AD44" s="264"/>
      <c r="AE44" s="264"/>
      <c r="AF44" s="264"/>
      <c r="AG44" s="264"/>
      <c r="AH44" s="390"/>
      <c r="AI44" s="390"/>
      <c r="AJ44" s="390"/>
      <c r="AK44" s="358">
        <f>SUM(AC44+AD44+AE44+AF44+AG44+AH44+AJ44)</f>
        <v>0</v>
      </c>
      <c r="AL44" s="397">
        <f>SUM(AB44,AK44)</f>
        <v>26140.9</v>
      </c>
      <c r="AM44" s="366"/>
      <c r="AN44" s="367"/>
      <c r="AO44" s="368">
        <f t="shared" si="4"/>
        <v>0</v>
      </c>
      <c r="AP44" s="416">
        <f t="shared" si="5"/>
        <v>26140.9</v>
      </c>
    </row>
    <row r="45" spans="1:42" s="257" customFormat="1" ht="22.5" customHeight="1" thickBot="1">
      <c r="A45" s="398" t="s">
        <v>118</v>
      </c>
      <c r="B45" s="399">
        <f>B33+B39+B40+B41+B42+B43+B44</f>
        <v>0</v>
      </c>
      <c r="C45" s="400">
        <f aca="true" t="shared" si="12" ref="C45:AM45">C33+C39+C40+C41+C42+C43+C44</f>
        <v>0</v>
      </c>
      <c r="D45" s="400">
        <f t="shared" si="12"/>
        <v>0</v>
      </c>
      <c r="E45" s="400">
        <f t="shared" si="12"/>
        <v>0</v>
      </c>
      <c r="F45" s="400">
        <f t="shared" si="12"/>
        <v>0</v>
      </c>
      <c r="G45" s="400">
        <f t="shared" si="12"/>
        <v>0</v>
      </c>
      <c r="H45" s="400">
        <f t="shared" si="12"/>
        <v>0</v>
      </c>
      <c r="I45" s="400">
        <f t="shared" si="12"/>
        <v>0</v>
      </c>
      <c r="J45" s="400">
        <f t="shared" si="12"/>
        <v>0</v>
      </c>
      <c r="K45" s="400">
        <f t="shared" si="12"/>
        <v>0</v>
      </c>
      <c r="L45" s="400">
        <f t="shared" si="12"/>
        <v>0</v>
      </c>
      <c r="M45" s="400">
        <f t="shared" si="12"/>
        <v>0</v>
      </c>
      <c r="N45" s="400">
        <f t="shared" si="12"/>
        <v>0</v>
      </c>
      <c r="O45" s="400">
        <f t="shared" si="12"/>
        <v>0</v>
      </c>
      <c r="P45" s="400">
        <f t="shared" si="12"/>
        <v>0</v>
      </c>
      <c r="Q45" s="400">
        <f t="shared" si="12"/>
        <v>0</v>
      </c>
      <c r="R45" s="400">
        <f t="shared" si="12"/>
        <v>0</v>
      </c>
      <c r="S45" s="400">
        <f t="shared" si="12"/>
        <v>0</v>
      </c>
      <c r="T45" s="400">
        <f t="shared" si="12"/>
        <v>0</v>
      </c>
      <c r="U45" s="400">
        <f t="shared" si="12"/>
        <v>0</v>
      </c>
      <c r="V45" s="400">
        <f t="shared" si="12"/>
        <v>495630.39999999997</v>
      </c>
      <c r="W45" s="400">
        <f t="shared" si="12"/>
        <v>0</v>
      </c>
      <c r="X45" s="400">
        <f t="shared" si="12"/>
        <v>0</v>
      </c>
      <c r="Y45" s="400">
        <f t="shared" si="12"/>
        <v>0</v>
      </c>
      <c r="Z45" s="401">
        <f t="shared" si="12"/>
        <v>0</v>
      </c>
      <c r="AA45" s="402">
        <f t="shared" si="12"/>
        <v>0</v>
      </c>
      <c r="AB45" s="403">
        <f t="shared" si="12"/>
        <v>495630.39999999997</v>
      </c>
      <c r="AC45" s="404"/>
      <c r="AD45" s="400">
        <f t="shared" si="12"/>
        <v>0</v>
      </c>
      <c r="AE45" s="400">
        <f t="shared" si="12"/>
        <v>0</v>
      </c>
      <c r="AF45" s="400">
        <f t="shared" si="12"/>
        <v>0</v>
      </c>
      <c r="AG45" s="400">
        <f t="shared" si="12"/>
        <v>0</v>
      </c>
      <c r="AH45" s="400">
        <f t="shared" si="12"/>
        <v>0</v>
      </c>
      <c r="AI45" s="400">
        <f>AI33+AI39+AI40+AI41+AI42+AI43+AI44</f>
        <v>0</v>
      </c>
      <c r="AJ45" s="401">
        <f t="shared" si="12"/>
        <v>0</v>
      </c>
      <c r="AK45" s="403">
        <f t="shared" si="12"/>
        <v>0</v>
      </c>
      <c r="AL45" s="404">
        <f t="shared" si="12"/>
        <v>495630.39999999997</v>
      </c>
      <c r="AM45" s="400">
        <f t="shared" si="12"/>
        <v>0</v>
      </c>
      <c r="AN45" s="405">
        <f>AN33+AN39+AN40+AN41+AN42+AN43+AN44</f>
        <v>0</v>
      </c>
      <c r="AO45" s="405">
        <f>AO33+AO39+AO40+AO41+AO42+AO43+AO44</f>
        <v>0</v>
      </c>
      <c r="AP45" s="256">
        <f>AP33+AP39+AP40+AP41+AP42+AP43+AP44</f>
        <v>495630.39999999997</v>
      </c>
    </row>
    <row r="46" spans="1:42" s="257" customFormat="1" ht="27.75" customHeight="1" thickBot="1">
      <c r="A46" s="543" t="s">
        <v>20</v>
      </c>
      <c r="B46" s="544">
        <f>B45+B20</f>
        <v>156995.1</v>
      </c>
      <c r="C46" s="545">
        <f aca="true" t="shared" si="13" ref="C46:AL46">C45+C20</f>
        <v>6133.2</v>
      </c>
      <c r="D46" s="546">
        <f t="shared" si="13"/>
        <v>7476.699999999999</v>
      </c>
      <c r="E46" s="546">
        <f t="shared" si="13"/>
        <v>1443.6000000000001</v>
      </c>
      <c r="F46" s="546">
        <f t="shared" si="13"/>
        <v>3668.3</v>
      </c>
      <c r="G46" s="546">
        <f t="shared" si="13"/>
        <v>282</v>
      </c>
      <c r="H46" s="546">
        <f t="shared" si="13"/>
        <v>193.6</v>
      </c>
      <c r="I46" s="546">
        <f t="shared" si="13"/>
        <v>0</v>
      </c>
      <c r="J46" s="546">
        <f t="shared" si="13"/>
        <v>609.6</v>
      </c>
      <c r="K46" s="546">
        <f t="shared" si="13"/>
        <v>173.6</v>
      </c>
      <c r="L46" s="545">
        <f t="shared" si="13"/>
        <v>1190</v>
      </c>
      <c r="M46" s="546">
        <f t="shared" si="13"/>
        <v>6954.400000000001</v>
      </c>
      <c r="N46" s="546">
        <f t="shared" si="13"/>
        <v>4128.4</v>
      </c>
      <c r="O46" s="546">
        <f t="shared" si="13"/>
        <v>17780.100000000002</v>
      </c>
      <c r="P46" s="545">
        <f t="shared" si="13"/>
        <v>221</v>
      </c>
      <c r="Q46" s="546">
        <f t="shared" si="13"/>
        <v>3027.5</v>
      </c>
      <c r="R46" s="546">
        <f t="shared" si="13"/>
        <v>200</v>
      </c>
      <c r="S46" s="546">
        <f t="shared" si="13"/>
        <v>41073.8</v>
      </c>
      <c r="T46" s="546">
        <f t="shared" si="13"/>
        <v>2811.9</v>
      </c>
      <c r="U46" s="546">
        <f t="shared" si="13"/>
        <v>813</v>
      </c>
      <c r="V46" s="546">
        <f t="shared" si="13"/>
        <v>495630.39999999997</v>
      </c>
      <c r="W46" s="546">
        <f t="shared" si="13"/>
        <v>0</v>
      </c>
      <c r="X46" s="546">
        <f t="shared" si="13"/>
        <v>7631.7</v>
      </c>
      <c r="Y46" s="545">
        <f t="shared" si="13"/>
        <v>4970</v>
      </c>
      <c r="Z46" s="547">
        <f t="shared" si="13"/>
        <v>3997.6</v>
      </c>
      <c r="AA46" s="548">
        <f t="shared" si="13"/>
        <v>0</v>
      </c>
      <c r="AB46" s="535">
        <f t="shared" si="13"/>
        <v>767405.5</v>
      </c>
      <c r="AC46" s="533">
        <f t="shared" si="13"/>
        <v>0</v>
      </c>
      <c r="AD46" s="546">
        <f t="shared" si="13"/>
        <v>4037.2</v>
      </c>
      <c r="AE46" s="546">
        <f>AE45+AE20</f>
        <v>19472.5</v>
      </c>
      <c r="AF46" s="546">
        <f t="shared" si="13"/>
        <v>0</v>
      </c>
      <c r="AG46" s="545">
        <f t="shared" si="13"/>
        <v>4073</v>
      </c>
      <c r="AH46" s="546">
        <f t="shared" si="13"/>
        <v>5221.6</v>
      </c>
      <c r="AI46" s="546">
        <f>AI45+AI20</f>
        <v>560</v>
      </c>
      <c r="AJ46" s="549">
        <f t="shared" si="13"/>
        <v>2000</v>
      </c>
      <c r="AK46" s="535">
        <f t="shared" si="13"/>
        <v>35364.299999999996</v>
      </c>
      <c r="AL46" s="534">
        <f t="shared" si="13"/>
        <v>802769.7999999999</v>
      </c>
      <c r="AM46" s="537">
        <f>AM45+AM20</f>
        <v>0</v>
      </c>
      <c r="AN46" s="537">
        <f>AN45+AN20</f>
        <v>-6580.4</v>
      </c>
      <c r="AO46" s="537">
        <f>AO45+AO20</f>
        <v>-6580.4</v>
      </c>
      <c r="AP46" s="550">
        <f>AP45+AP20</f>
        <v>796189.3999999999</v>
      </c>
    </row>
    <row r="47" spans="2:75" ht="12.75">
      <c r="B47" s="339"/>
      <c r="C47" s="339"/>
      <c r="D47" s="339"/>
      <c r="E47" s="339"/>
      <c r="F47" s="339" t="s">
        <v>213</v>
      </c>
      <c r="G47" s="339"/>
      <c r="H47" s="339"/>
      <c r="I47" s="339"/>
      <c r="J47" s="339"/>
      <c r="K47" s="339"/>
      <c r="L47" s="339" t="s">
        <v>213</v>
      </c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</row>
    <row r="49" ht="12.75">
      <c r="T49" s="234" t="s">
        <v>109</v>
      </c>
    </row>
  </sheetData>
  <sheetProtection/>
  <mergeCells count="1">
    <mergeCell ref="A3:P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47"/>
  <sheetViews>
    <sheetView view="pageBreakPreview" zoomScaleSheetLayoutView="100" workbookViewId="0" topLeftCell="AI1">
      <selection activeCell="K18" sqref="K18"/>
    </sheetView>
  </sheetViews>
  <sheetFormatPr defaultColWidth="9.140625" defaultRowHeight="12.75"/>
  <cols>
    <col min="1" max="1" width="28.7109375" style="11" customWidth="1"/>
    <col min="2" max="4" width="7.28125" style="11" customWidth="1"/>
    <col min="5" max="6" width="9.28125" style="11" customWidth="1"/>
    <col min="7" max="7" width="9.7109375" style="11" customWidth="1"/>
    <col min="8" max="8" width="11.421875" style="11" customWidth="1"/>
    <col min="9" max="9" width="10.7109375" style="11" customWidth="1"/>
    <col min="10" max="10" width="8.140625" style="11" customWidth="1"/>
    <col min="11" max="11" width="8.57421875" style="11" customWidth="1"/>
    <col min="12" max="12" width="8.28125" style="11" customWidth="1"/>
    <col min="13" max="13" width="8.8515625" style="11" customWidth="1"/>
    <col min="14" max="14" width="7.8515625" style="11" customWidth="1"/>
    <col min="15" max="15" width="6.7109375" style="11" customWidth="1"/>
    <col min="16" max="16" width="8.57421875" style="11" hidden="1" customWidth="1"/>
    <col min="17" max="17" width="6.7109375" style="11" customWidth="1"/>
    <col min="18" max="18" width="6.8515625" style="11" customWidth="1"/>
    <col min="19" max="19" width="6.7109375" style="11" customWidth="1"/>
    <col min="20" max="20" width="9.00390625" style="11" customWidth="1"/>
    <col min="21" max="21" width="8.57421875" style="11" customWidth="1"/>
    <col min="22" max="22" width="9.8515625" style="11" customWidth="1"/>
    <col min="23" max="23" width="6.421875" style="11" customWidth="1"/>
    <col min="24" max="24" width="8.57421875" style="11" customWidth="1"/>
    <col min="25" max="25" width="7.7109375" style="11" customWidth="1"/>
    <col min="26" max="26" width="9.57421875" style="11" customWidth="1"/>
    <col min="27" max="27" width="8.421875" style="11" customWidth="1"/>
    <col min="28" max="28" width="7.00390625" style="11" customWidth="1"/>
    <col min="29" max="29" width="10.7109375" style="11" customWidth="1"/>
    <col min="30" max="30" width="8.57421875" style="11" customWidth="1"/>
    <col min="31" max="31" width="8.421875" style="11" customWidth="1"/>
    <col min="32" max="32" width="6.7109375" style="11" customWidth="1"/>
    <col min="33" max="33" width="8.28125" style="11" customWidth="1"/>
    <col min="34" max="34" width="8.57421875" style="11" hidden="1" customWidth="1"/>
    <col min="35" max="35" width="13.140625" style="11" customWidth="1"/>
    <col min="36" max="36" width="8.57421875" style="11" hidden="1" customWidth="1"/>
    <col min="37" max="37" width="9.28125" style="11" customWidth="1"/>
    <col min="38" max="38" width="9.421875" style="11" customWidth="1"/>
    <col min="39" max="39" width="8.57421875" style="11" hidden="1" customWidth="1"/>
    <col min="40" max="40" width="7.421875" style="11" customWidth="1"/>
    <col min="41" max="41" width="7.140625" style="11" customWidth="1"/>
    <col min="42" max="42" width="6.00390625" style="11" customWidth="1"/>
    <col min="43" max="43" width="8.00390625" style="11" customWidth="1"/>
    <col min="44" max="44" width="10.140625" style="11" customWidth="1"/>
    <col min="45" max="45" width="12.00390625" style="11" customWidth="1"/>
    <col min="46" max="46" width="8.8515625" style="19" customWidth="1"/>
    <col min="47" max="47" width="7.00390625" style="19" hidden="1" customWidth="1"/>
    <col min="48" max="48" width="8.00390625" style="19" customWidth="1"/>
    <col min="49" max="50" width="7.00390625" style="19" customWidth="1"/>
    <col min="51" max="57" width="7.00390625" style="19" hidden="1" customWidth="1"/>
    <col min="58" max="58" width="6.140625" style="19" hidden="1" customWidth="1"/>
    <col min="59" max="59" width="6.140625" style="19" customWidth="1"/>
    <col min="60" max="62" width="6.140625" style="19" hidden="1" customWidth="1"/>
    <col min="63" max="63" width="7.57421875" style="19" hidden="1" customWidth="1"/>
    <col min="64" max="65" width="6.140625" style="19" hidden="1" customWidth="1"/>
    <col min="66" max="66" width="8.8515625" style="19" customWidth="1"/>
    <col min="67" max="69" width="9.421875" style="19" hidden="1" customWidth="1"/>
    <col min="70" max="70" width="8.140625" style="19" customWidth="1"/>
    <col min="71" max="71" width="10.421875" style="19" customWidth="1"/>
    <col min="72" max="72" width="4.140625" style="19" hidden="1" customWidth="1"/>
    <col min="73" max="73" width="8.8515625" style="19" customWidth="1"/>
    <col min="74" max="74" width="8.421875" style="19" customWidth="1"/>
    <col min="75" max="75" width="9.421875" style="19" hidden="1" customWidth="1"/>
    <col min="76" max="76" width="0.13671875" style="19" hidden="1" customWidth="1"/>
    <col min="77" max="77" width="2.8515625" style="19" hidden="1" customWidth="1"/>
    <col min="78" max="78" width="4.57421875" style="19" hidden="1" customWidth="1"/>
    <col min="79" max="79" width="8.00390625" style="19" customWidth="1"/>
    <col min="80" max="80" width="10.28125" style="19" customWidth="1"/>
    <col min="81" max="81" width="9.421875" style="11" hidden="1" customWidth="1"/>
    <col min="82" max="82" width="8.421875" style="11" customWidth="1"/>
    <col min="83" max="83" width="9.28125" style="11" customWidth="1"/>
    <col min="84" max="84" width="11.28125" style="11" customWidth="1"/>
    <col min="85" max="85" width="9.8515625" style="11" customWidth="1"/>
    <col min="86" max="16384" width="9.140625" style="11" customWidth="1"/>
  </cols>
  <sheetData>
    <row r="1" spans="1:83" s="5" customFormat="1" ht="18" customHeight="1">
      <c r="A1" s="783" t="s">
        <v>229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D1" s="7"/>
      <c r="CE1" s="7"/>
    </row>
    <row r="2" spans="1:83" s="5" customFormat="1" ht="9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D2" s="7"/>
      <c r="CE2" s="7"/>
    </row>
    <row r="3" spans="1:84" s="5" customFormat="1" ht="15.75" customHeight="1" thickBot="1">
      <c r="A3" s="784"/>
      <c r="B3" s="786" t="s">
        <v>171</v>
      </c>
      <c r="C3" s="787"/>
      <c r="D3" s="787"/>
      <c r="E3" s="787"/>
      <c r="F3" s="787"/>
      <c r="G3" s="787"/>
      <c r="H3" s="788"/>
      <c r="I3" s="789" t="s">
        <v>117</v>
      </c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  <c r="AR3" s="789"/>
      <c r="AS3" s="790"/>
      <c r="AT3" s="780" t="s">
        <v>230</v>
      </c>
      <c r="AU3" s="781"/>
      <c r="AV3" s="781"/>
      <c r="AW3" s="781"/>
      <c r="AX3" s="781"/>
      <c r="AY3" s="781"/>
      <c r="AZ3" s="781"/>
      <c r="BA3" s="781"/>
      <c r="BB3" s="781"/>
      <c r="BC3" s="781"/>
      <c r="BD3" s="781"/>
      <c r="BE3" s="781"/>
      <c r="BF3" s="781"/>
      <c r="BG3" s="781"/>
      <c r="BH3" s="781"/>
      <c r="BI3" s="781"/>
      <c r="BJ3" s="781"/>
      <c r="BK3" s="781"/>
      <c r="BL3" s="781"/>
      <c r="BM3" s="781"/>
      <c r="BN3" s="781"/>
      <c r="BO3" s="781"/>
      <c r="BP3" s="781"/>
      <c r="BQ3" s="781"/>
      <c r="BR3" s="781"/>
      <c r="BS3" s="781"/>
      <c r="BT3" s="781"/>
      <c r="BU3" s="781"/>
      <c r="BV3" s="781"/>
      <c r="BW3" s="781"/>
      <c r="BX3" s="781"/>
      <c r="BY3" s="781"/>
      <c r="BZ3" s="781"/>
      <c r="CA3" s="781"/>
      <c r="CB3" s="782"/>
      <c r="CC3" s="791"/>
      <c r="CD3" s="792"/>
      <c r="CE3" s="792"/>
      <c r="CF3" s="778" t="s">
        <v>214</v>
      </c>
    </row>
    <row r="4" spans="1:84" s="6" customFormat="1" ht="36.75" customHeight="1" thickBot="1">
      <c r="A4" s="785"/>
      <c r="B4" s="17" t="s">
        <v>114</v>
      </c>
      <c r="C4" s="18" t="s">
        <v>5</v>
      </c>
      <c r="D4" s="18" t="s">
        <v>6</v>
      </c>
      <c r="E4" s="18" t="s">
        <v>13</v>
      </c>
      <c r="F4" s="18" t="s">
        <v>52</v>
      </c>
      <c r="G4" s="18" t="s">
        <v>81</v>
      </c>
      <c r="H4" s="551" t="s">
        <v>115</v>
      </c>
      <c r="I4" s="13">
        <v>4111</v>
      </c>
      <c r="J4" s="13">
        <v>4112</v>
      </c>
      <c r="K4" s="14">
        <v>4212</v>
      </c>
      <c r="L4" s="14">
        <v>4213</v>
      </c>
      <c r="M4" s="14">
        <v>4214</v>
      </c>
      <c r="N4" s="14">
        <v>4215</v>
      </c>
      <c r="O4" s="14">
        <v>4221</v>
      </c>
      <c r="P4" s="14">
        <v>4222</v>
      </c>
      <c r="Q4" s="14">
        <v>4232</v>
      </c>
      <c r="R4" s="14">
        <v>4234</v>
      </c>
      <c r="S4" s="14">
        <v>4237</v>
      </c>
      <c r="T4" s="14">
        <v>4239</v>
      </c>
      <c r="U4" s="14">
        <v>4241</v>
      </c>
      <c r="V4" s="14">
        <v>4251</v>
      </c>
      <c r="W4" s="14">
        <v>4252</v>
      </c>
      <c r="X4" s="14">
        <v>4261</v>
      </c>
      <c r="Y4" s="14">
        <v>4262</v>
      </c>
      <c r="Z4" s="14" t="s">
        <v>50</v>
      </c>
      <c r="AA4" s="14" t="s">
        <v>51</v>
      </c>
      <c r="AB4" s="14" t="s">
        <v>2</v>
      </c>
      <c r="AC4" s="14">
        <v>4511</v>
      </c>
      <c r="AD4" s="14">
        <v>4637</v>
      </c>
      <c r="AE4" s="14" t="s">
        <v>53</v>
      </c>
      <c r="AF4" s="14">
        <v>4819</v>
      </c>
      <c r="AG4" s="21" t="s">
        <v>59</v>
      </c>
      <c r="AH4" s="21">
        <v>4891</v>
      </c>
      <c r="AI4" s="23" t="s">
        <v>220</v>
      </c>
      <c r="AJ4" s="112">
        <v>5111</v>
      </c>
      <c r="AK4" s="162" t="s">
        <v>81</v>
      </c>
      <c r="AL4" s="22" t="s">
        <v>55</v>
      </c>
      <c r="AM4" s="15" t="s">
        <v>56</v>
      </c>
      <c r="AN4" s="15" t="s">
        <v>49</v>
      </c>
      <c r="AO4" s="20" t="s">
        <v>57</v>
      </c>
      <c r="AP4" s="20" t="s">
        <v>221</v>
      </c>
      <c r="AQ4" s="20" t="s">
        <v>58</v>
      </c>
      <c r="AR4" s="24" t="s">
        <v>219</v>
      </c>
      <c r="AS4" s="16" t="s">
        <v>218</v>
      </c>
      <c r="AT4" s="13">
        <v>4111</v>
      </c>
      <c r="AU4" s="13">
        <v>4112</v>
      </c>
      <c r="AV4" s="14">
        <v>4212</v>
      </c>
      <c r="AW4" s="14">
        <v>4213</v>
      </c>
      <c r="AX4" s="14">
        <v>4214</v>
      </c>
      <c r="AY4" s="14">
        <v>4215</v>
      </c>
      <c r="AZ4" s="14">
        <v>4221</v>
      </c>
      <c r="BA4" s="14">
        <v>4222</v>
      </c>
      <c r="BB4" s="14">
        <v>4232</v>
      </c>
      <c r="BC4" s="14">
        <v>4234</v>
      </c>
      <c r="BD4" s="14">
        <v>4237</v>
      </c>
      <c r="BE4" s="14">
        <v>4239</v>
      </c>
      <c r="BF4" s="14">
        <v>4241</v>
      </c>
      <c r="BG4" s="14">
        <v>4251</v>
      </c>
      <c r="BH4" s="14">
        <v>4252</v>
      </c>
      <c r="BI4" s="14">
        <v>4261</v>
      </c>
      <c r="BJ4" s="14">
        <v>4262</v>
      </c>
      <c r="BK4" s="14" t="s">
        <v>50</v>
      </c>
      <c r="BL4" s="14" t="s">
        <v>51</v>
      </c>
      <c r="BM4" s="14" t="s">
        <v>2</v>
      </c>
      <c r="BN4" s="14">
        <v>4511</v>
      </c>
      <c r="BO4" s="14">
        <v>4637</v>
      </c>
      <c r="BP4" s="14" t="s">
        <v>53</v>
      </c>
      <c r="BQ4" s="14">
        <v>4819</v>
      </c>
      <c r="BR4" s="21" t="s">
        <v>59</v>
      </c>
      <c r="BS4" s="166" t="s">
        <v>217</v>
      </c>
      <c r="BT4" s="163">
        <v>5111</v>
      </c>
      <c r="BU4" s="22" t="s">
        <v>81</v>
      </c>
      <c r="BV4" s="15" t="s">
        <v>55</v>
      </c>
      <c r="BW4" s="15" t="s">
        <v>56</v>
      </c>
      <c r="BX4" s="15" t="s">
        <v>49</v>
      </c>
      <c r="BY4" s="20" t="s">
        <v>57</v>
      </c>
      <c r="BZ4" s="20" t="s">
        <v>58</v>
      </c>
      <c r="CA4" s="167" t="s">
        <v>215</v>
      </c>
      <c r="CB4" s="158" t="s">
        <v>216</v>
      </c>
      <c r="CC4" s="168">
        <v>8111</v>
      </c>
      <c r="CD4" s="89">
        <v>8411</v>
      </c>
      <c r="CE4" s="164" t="s">
        <v>174</v>
      </c>
      <c r="CF4" s="779"/>
    </row>
    <row r="5" spans="1:84" s="6" customFormat="1" ht="15" customHeight="1">
      <c r="A5" s="386" t="s">
        <v>119</v>
      </c>
      <c r="B5" s="459">
        <v>380.5</v>
      </c>
      <c r="C5" s="224">
        <v>10.1</v>
      </c>
      <c r="D5" s="224">
        <v>112.3</v>
      </c>
      <c r="E5" s="224"/>
      <c r="F5" s="224"/>
      <c r="G5" s="224"/>
      <c r="H5" s="552">
        <f>B5+C5+D5+E5+F5+G5</f>
        <v>502.90000000000003</v>
      </c>
      <c r="I5" s="28">
        <v>73244.5</v>
      </c>
      <c r="J5" s="28">
        <v>5694.8</v>
      </c>
      <c r="K5" s="28">
        <v>5593</v>
      </c>
      <c r="L5" s="28">
        <v>163.2</v>
      </c>
      <c r="M5" s="28">
        <v>2454.3</v>
      </c>
      <c r="N5" s="28">
        <v>84</v>
      </c>
      <c r="O5" s="28">
        <v>193.6</v>
      </c>
      <c r="P5" s="28"/>
      <c r="Q5" s="28">
        <v>264</v>
      </c>
      <c r="R5" s="28">
        <v>103.6</v>
      </c>
      <c r="S5" s="232">
        <v>1190</v>
      </c>
      <c r="T5" s="28">
        <v>9.6</v>
      </c>
      <c r="U5" s="28">
        <v>3102.4</v>
      </c>
      <c r="V5" s="28"/>
      <c r="W5" s="28">
        <v>221</v>
      </c>
      <c r="X5" s="232">
        <v>2607.5</v>
      </c>
      <c r="Y5" s="232"/>
      <c r="Z5" s="232">
        <v>7044.3</v>
      </c>
      <c r="AA5" s="28">
        <v>668.2</v>
      </c>
      <c r="AB5" s="28">
        <v>438</v>
      </c>
      <c r="AC5" s="28"/>
      <c r="AD5" s="28"/>
      <c r="AE5" s="28"/>
      <c r="AF5" s="28"/>
      <c r="AG5" s="91">
        <v>30.3</v>
      </c>
      <c r="AH5" s="27"/>
      <c r="AI5" s="225">
        <f aca="true" t="shared" si="0" ref="AI5:AI19">I5+J5+K5+L5+M5+N5+O5+P5+Q5+R5+S5+T5+U5+V5+W5+X5+Y5+Z5+AA5+AB5+AC5+AD5+AE5+AF5+AG5+AH5</f>
        <v>103106.30000000002</v>
      </c>
      <c r="AJ5" s="225"/>
      <c r="AK5" s="27"/>
      <c r="AL5" s="27"/>
      <c r="AM5" s="27"/>
      <c r="AN5" s="27">
        <v>1655</v>
      </c>
      <c r="AO5" s="28"/>
      <c r="AP5" s="28">
        <v>560</v>
      </c>
      <c r="AQ5" s="28"/>
      <c r="AR5" s="28">
        <f>AK5+AL5+AM5+AN5+AO5+AP5+AQ5+AJ5</f>
        <v>2215</v>
      </c>
      <c r="AS5" s="28">
        <f>AI5+AR5</f>
        <v>105321.30000000002</v>
      </c>
      <c r="AT5" s="28">
        <f>I5-'2018dram'!B5</f>
        <v>-1295.300000000003</v>
      </c>
      <c r="AU5" s="28">
        <f>J5-'2018dram'!C5</f>
        <v>0</v>
      </c>
      <c r="AV5" s="28">
        <f>K5-'2018dram'!D5-B5</f>
        <v>-527.8999999999996</v>
      </c>
      <c r="AW5" s="28">
        <f>L5-'2018dram'!E5-C5</f>
        <v>-5.1</v>
      </c>
      <c r="AX5" s="28">
        <f>M5-'2018dram'!F5-D5</f>
        <v>-17.999999999999815</v>
      </c>
      <c r="AY5" s="28">
        <f>N5-'2018dram'!G5</f>
        <v>0</v>
      </c>
      <c r="AZ5" s="28">
        <f>O5-'2018dram'!H5</f>
        <v>0</v>
      </c>
      <c r="BA5" s="28">
        <f>P5-'2018dram'!I5</f>
        <v>0</v>
      </c>
      <c r="BB5" s="28">
        <f>Q5-'2018dram'!J5</f>
        <v>0</v>
      </c>
      <c r="BC5" s="28">
        <f>R5-'2018dram'!K5</f>
        <v>0</v>
      </c>
      <c r="BD5" s="28">
        <f>S5-'2018dram'!L5</f>
        <v>0</v>
      </c>
      <c r="BE5" s="28">
        <f>T5-'2018dram'!M5</f>
        <v>0</v>
      </c>
      <c r="BF5" s="28">
        <f>U5-'2018dram'!N5</f>
        <v>0</v>
      </c>
      <c r="BG5" s="28">
        <f>V5-'2018dram'!O5</f>
        <v>0</v>
      </c>
      <c r="BH5" s="28">
        <f>W5-'2018dram'!P5</f>
        <v>0</v>
      </c>
      <c r="BI5" s="28">
        <f>X5-'2018dram'!Q5</f>
        <v>0</v>
      </c>
      <c r="BJ5" s="28">
        <f>Y5-'2018dram'!R5</f>
        <v>0</v>
      </c>
      <c r="BK5" s="28">
        <f>Z5-'2018dram'!S5</f>
        <v>0</v>
      </c>
      <c r="BL5" s="28">
        <f>AA5-'2018dram'!T5</f>
        <v>0</v>
      </c>
      <c r="BM5" s="28">
        <f>AB5-'2018dram'!U5</f>
        <v>0</v>
      </c>
      <c r="BN5" s="28">
        <f>AC5-'2018dram'!V5-F5</f>
        <v>0</v>
      </c>
      <c r="BO5" s="28">
        <f>AD5-'2018dram'!W5</f>
        <v>0</v>
      </c>
      <c r="BP5" s="28">
        <f>AE5-'2018dram'!X5</f>
        <v>0</v>
      </c>
      <c r="BQ5" s="28">
        <f>AF5-'2018dram'!Y5</f>
        <v>0</v>
      </c>
      <c r="BR5" s="226">
        <f>AG5-'2018dram'!Z5</f>
        <v>0</v>
      </c>
      <c r="BS5" s="227">
        <f>AT5+AU5+AV5+AW5+AX5+AY5+AZ5+BA5+BB5+BC5+BD5+BE5+BF5+BG5+BH5+BI5+BJ5+BK5+BL5+BM5+BN5+BO5+BP5+BQ5+BR5</f>
        <v>-1846.3000000000022</v>
      </c>
      <c r="BT5" s="228">
        <f>AJ5-'2018dram'!AC5</f>
        <v>0</v>
      </c>
      <c r="BU5" s="27">
        <f>AK5-'2018dram'!AD5-G5</f>
        <v>0</v>
      </c>
      <c r="BV5" s="27">
        <f>AL5-'2018dram'!AE5</f>
        <v>0</v>
      </c>
      <c r="BW5" s="27">
        <f>AM5-'2018dram'!AF5</f>
        <v>0</v>
      </c>
      <c r="BX5" s="27">
        <f>AN5-'2018dram'!AG5</f>
        <v>0</v>
      </c>
      <c r="BY5" s="27">
        <f>AO5-'2018dram'!AH5</f>
        <v>0</v>
      </c>
      <c r="BZ5" s="91">
        <f>AQ5-'2018dram'!AJ5</f>
        <v>0</v>
      </c>
      <c r="CA5" s="227">
        <f>BU5+BV5+BW5+BX5+BY5+BZ5</f>
        <v>0</v>
      </c>
      <c r="CB5" s="229">
        <f>BS5+CA5</f>
        <v>-1846.3000000000022</v>
      </c>
      <c r="CC5" s="196"/>
      <c r="CD5" s="197"/>
      <c r="CE5" s="198">
        <f>CC5+CD5</f>
        <v>0</v>
      </c>
      <c r="CF5" s="139">
        <f>AS5+CE5</f>
        <v>105321.30000000002</v>
      </c>
    </row>
    <row r="6" spans="1:84" s="6" customFormat="1" ht="15" customHeight="1">
      <c r="A6" s="359" t="s">
        <v>120</v>
      </c>
      <c r="B6" s="194"/>
      <c r="C6" s="201"/>
      <c r="D6" s="201"/>
      <c r="E6" s="201"/>
      <c r="F6" s="201"/>
      <c r="G6" s="224"/>
      <c r="H6" s="552">
        <f>B6+C6+D6+E6+F6+G6</f>
        <v>0</v>
      </c>
      <c r="I6" s="159">
        <v>5487</v>
      </c>
      <c r="J6" s="26">
        <v>438.4</v>
      </c>
      <c r="K6" s="26">
        <v>295.9</v>
      </c>
      <c r="L6" s="26"/>
      <c r="M6" s="26">
        <v>158.8</v>
      </c>
      <c r="N6" s="26"/>
      <c r="O6" s="26"/>
      <c r="P6" s="26"/>
      <c r="Q6" s="26"/>
      <c r="R6" s="26"/>
      <c r="S6" s="26"/>
      <c r="T6" s="26"/>
      <c r="U6" s="26">
        <v>600</v>
      </c>
      <c r="V6" s="26">
        <v>397.7</v>
      </c>
      <c r="W6" s="26"/>
      <c r="X6" s="26">
        <v>80</v>
      </c>
      <c r="Y6" s="26"/>
      <c r="Z6" s="26"/>
      <c r="AA6" s="26"/>
      <c r="AB6" s="26"/>
      <c r="AC6" s="26"/>
      <c r="AD6" s="26"/>
      <c r="AE6" s="26"/>
      <c r="AF6" s="26"/>
      <c r="AG6" s="92"/>
      <c r="AH6" s="27"/>
      <c r="AI6" s="225">
        <f t="shared" si="0"/>
        <v>7457.799999999999</v>
      </c>
      <c r="AJ6" s="225"/>
      <c r="AK6" s="25"/>
      <c r="AL6" s="25"/>
      <c r="AM6" s="25"/>
      <c r="AN6" s="25"/>
      <c r="AO6" s="26"/>
      <c r="AP6" s="26"/>
      <c r="AQ6" s="26"/>
      <c r="AR6" s="28">
        <f aca="true" t="shared" si="1" ref="AR6:AR44">AK6+AL6+AM6+AN6+AO6+AQ6+AJ6</f>
        <v>0</v>
      </c>
      <c r="AS6" s="28">
        <f aca="true" t="shared" si="2" ref="AS6:AS44">AI6+AR6</f>
        <v>7457.799999999999</v>
      </c>
      <c r="AT6" s="28">
        <f>I6-'2018dram'!B6</f>
        <v>-107.60000000000036</v>
      </c>
      <c r="AU6" s="28">
        <f>J6-'2018dram'!C6</f>
        <v>0</v>
      </c>
      <c r="AV6" s="28">
        <f>K6-'2018dram'!D6-B6</f>
        <v>-84</v>
      </c>
      <c r="AW6" s="28">
        <f>L6-'2018dram'!E6-C6</f>
        <v>0</v>
      </c>
      <c r="AX6" s="28">
        <f>M6-'2018dram'!F6-D6</f>
        <v>-7.699999999999989</v>
      </c>
      <c r="AY6" s="28">
        <f>N6-'2018dram'!G6</f>
        <v>0</v>
      </c>
      <c r="AZ6" s="28">
        <f>O6-'2018dram'!H6</f>
        <v>0</v>
      </c>
      <c r="BA6" s="28">
        <f>P6-'2018dram'!I6</f>
        <v>0</v>
      </c>
      <c r="BB6" s="28">
        <f>Q6-'2018dram'!J6</f>
        <v>0</v>
      </c>
      <c r="BC6" s="28">
        <f>R6-'2018dram'!K6</f>
        <v>0</v>
      </c>
      <c r="BD6" s="28">
        <f>S6-'2018dram'!L6</f>
        <v>0</v>
      </c>
      <c r="BE6" s="28">
        <f>T6-'2018dram'!M6</f>
        <v>0</v>
      </c>
      <c r="BF6" s="28">
        <f>U6-'2018dram'!N6</f>
        <v>0</v>
      </c>
      <c r="BG6" s="28">
        <f>V6-'2018dram'!O6</f>
        <v>0</v>
      </c>
      <c r="BH6" s="28">
        <f>W6-'2018dram'!P6</f>
        <v>0</v>
      </c>
      <c r="BI6" s="28">
        <f>X6-'2018dram'!Q6</f>
        <v>0</v>
      </c>
      <c r="BJ6" s="28">
        <f>Y6-'2018dram'!R6</f>
        <v>0</v>
      </c>
      <c r="BK6" s="28">
        <f>Z6-'2018dram'!S6</f>
        <v>0</v>
      </c>
      <c r="BL6" s="28">
        <f>AA6-'2018dram'!T6</f>
        <v>0</v>
      </c>
      <c r="BM6" s="28">
        <f>AB6-'2018dram'!U6</f>
        <v>0</v>
      </c>
      <c r="BN6" s="28">
        <f>AC6-'2018dram'!V6-F6</f>
        <v>0</v>
      </c>
      <c r="BO6" s="28">
        <f>AD6-'2018dram'!W6</f>
        <v>0</v>
      </c>
      <c r="BP6" s="28">
        <f>AE6-'2018dram'!X6</f>
        <v>0</v>
      </c>
      <c r="BQ6" s="28">
        <f>AF6-'2018dram'!Y6</f>
        <v>0</v>
      </c>
      <c r="BR6" s="226">
        <f>AG6-'2018dram'!Z6</f>
        <v>0</v>
      </c>
      <c r="BS6" s="227">
        <f>AT6+AU6+AV6+AW6+AX6+AY6+AZ6+BA6+BB6+BC6+BD6+BE6+BF6+BG6+BH6+BI6+BJ6+BK6+BL6+BM6+BN6+BO6+BP6+BQ6+BR6</f>
        <v>-199.30000000000035</v>
      </c>
      <c r="BT6" s="228">
        <f>AJ6-'2018dram'!AC6</f>
        <v>0</v>
      </c>
      <c r="BU6" s="27">
        <f>AK6-'2018dram'!AD6-G6</f>
        <v>0</v>
      </c>
      <c r="BV6" s="27">
        <f>AL6-'2018dram'!AE6</f>
        <v>0</v>
      </c>
      <c r="BW6" s="27">
        <f>AM6-'2018dram'!AF6</f>
        <v>0</v>
      </c>
      <c r="BX6" s="27">
        <f>AN6-'2018dram'!AG6</f>
        <v>0</v>
      </c>
      <c r="BY6" s="27">
        <f>AO6-'2018dram'!AH6</f>
        <v>0</v>
      </c>
      <c r="BZ6" s="91">
        <f>AQ6-'2018dram'!AJ6</f>
        <v>0</v>
      </c>
      <c r="CA6" s="227">
        <f aca="true" t="shared" si="3" ref="CA6:CA17">BU6+BV6+BW6+BX6+BY6+BZ6</f>
        <v>0</v>
      </c>
      <c r="CB6" s="229">
        <f aca="true" t="shared" si="4" ref="CB6:CB44">BS6+CA6</f>
        <v>-199.30000000000035</v>
      </c>
      <c r="CC6" s="199"/>
      <c r="CD6" s="200"/>
      <c r="CE6" s="189">
        <f aca="true" t="shared" si="5" ref="CE6:CE44">CC6+CD6</f>
        <v>0</v>
      </c>
      <c r="CF6" s="139">
        <f aca="true" t="shared" si="6" ref="CF6:CF44">AS6+CE6</f>
        <v>7457.799999999999</v>
      </c>
    </row>
    <row r="7" spans="1:84" s="6" customFormat="1" ht="15" customHeight="1">
      <c r="A7" s="359" t="s">
        <v>0</v>
      </c>
      <c r="B7" s="194"/>
      <c r="C7" s="201"/>
      <c r="D7" s="201"/>
      <c r="E7" s="201"/>
      <c r="F7" s="201"/>
      <c r="G7" s="224"/>
      <c r="H7" s="552">
        <f>B7+C7+D7+E7+F7+G7</f>
        <v>0</v>
      </c>
      <c r="I7" s="159">
        <v>8825</v>
      </c>
      <c r="J7" s="26"/>
      <c r="K7" s="26"/>
      <c r="L7" s="26"/>
      <c r="M7" s="26"/>
      <c r="N7" s="26"/>
      <c r="O7" s="26"/>
      <c r="P7" s="26"/>
      <c r="Q7" s="26">
        <v>345.6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92"/>
      <c r="AH7" s="27"/>
      <c r="AI7" s="225">
        <f t="shared" si="0"/>
        <v>9170.6</v>
      </c>
      <c r="AJ7" s="27"/>
      <c r="AK7" s="25"/>
      <c r="AL7" s="25"/>
      <c r="AM7" s="25"/>
      <c r="AN7" s="25"/>
      <c r="AO7" s="26"/>
      <c r="AP7" s="26"/>
      <c r="AQ7" s="26"/>
      <c r="AR7" s="28">
        <f t="shared" si="1"/>
        <v>0</v>
      </c>
      <c r="AS7" s="28">
        <f t="shared" si="2"/>
        <v>9170.6</v>
      </c>
      <c r="AT7" s="28">
        <f>I7-'2018dram'!B7</f>
        <v>0</v>
      </c>
      <c r="AU7" s="28">
        <f>J7-'2018dram'!C7</f>
        <v>0</v>
      </c>
      <c r="AV7" s="28">
        <f>K7-'2018dram'!D7-B7</f>
        <v>0</v>
      </c>
      <c r="AW7" s="28">
        <f>L7-'2018dram'!E7-C7</f>
        <v>0</v>
      </c>
      <c r="AX7" s="28">
        <f>M7-'2018dram'!F7-D7</f>
        <v>0</v>
      </c>
      <c r="AY7" s="28">
        <f>N7-'2018dram'!G7</f>
        <v>0</v>
      </c>
      <c r="AZ7" s="28">
        <f>O7-'2018dram'!H7</f>
        <v>0</v>
      </c>
      <c r="BA7" s="28">
        <f>P7-'2018dram'!I7</f>
        <v>0</v>
      </c>
      <c r="BB7" s="28">
        <f>Q7-'2018dram'!J7</f>
        <v>0</v>
      </c>
      <c r="BC7" s="28">
        <f>R7-'2018dram'!K7</f>
        <v>0</v>
      </c>
      <c r="BD7" s="28">
        <f>S7-'2018dram'!L7</f>
        <v>0</v>
      </c>
      <c r="BE7" s="28">
        <f>T7-'2018dram'!M7</f>
        <v>0</v>
      </c>
      <c r="BF7" s="28">
        <f>U7-'2018dram'!N7</f>
        <v>0</v>
      </c>
      <c r="BG7" s="28">
        <f>V7-'2018dram'!O7</f>
        <v>0</v>
      </c>
      <c r="BH7" s="28">
        <f>W7-'2018dram'!P7</f>
        <v>0</v>
      </c>
      <c r="BI7" s="28">
        <f>X7-'2018dram'!Q7</f>
        <v>0</v>
      </c>
      <c r="BJ7" s="28">
        <f>Y7-'2018dram'!R7</f>
        <v>0</v>
      </c>
      <c r="BK7" s="28">
        <f>Z7-'2018dram'!S7</f>
        <v>0</v>
      </c>
      <c r="BL7" s="28">
        <f>AA7-'2018dram'!T7</f>
        <v>0</v>
      </c>
      <c r="BM7" s="28">
        <f>AB7-'2018dram'!U7</f>
        <v>0</v>
      </c>
      <c r="BN7" s="28">
        <f>AC7-'2018dram'!V7-F7</f>
        <v>0</v>
      </c>
      <c r="BO7" s="28">
        <f>AD7-'2018dram'!W7</f>
        <v>0</v>
      </c>
      <c r="BP7" s="28">
        <f>AE7-'2018dram'!X7</f>
        <v>0</v>
      </c>
      <c r="BQ7" s="28">
        <f>AF7-'2018dram'!Y7</f>
        <v>0</v>
      </c>
      <c r="BR7" s="226">
        <f>AG7-'2018dram'!Z7</f>
        <v>0</v>
      </c>
      <c r="BS7" s="227">
        <f aca="true" t="shared" si="7" ref="BS7:BS44">AT7+AU7+AV7+AW7+AX7+AY7+AZ7+BA7+BB7+BC7+BD7+BE7+BF7+BG7+BH7+BI7+BJ7+BK7+BL7+BM7+BN7+BO7+BP7+BQ7+BR7</f>
        <v>0</v>
      </c>
      <c r="BT7" s="228">
        <f>AJ7-'2018dram'!AC7</f>
        <v>0</v>
      </c>
      <c r="BU7" s="27">
        <f>AK7-'2018dram'!AD7-G7</f>
        <v>0</v>
      </c>
      <c r="BV7" s="27">
        <f>AL7-'2018dram'!AE7</f>
        <v>0</v>
      </c>
      <c r="BW7" s="27">
        <f>AM7-'2018dram'!AF7</f>
        <v>0</v>
      </c>
      <c r="BX7" s="27">
        <f>AN7-'2018dram'!AG7</f>
        <v>0</v>
      </c>
      <c r="BY7" s="27">
        <f>AO7-'2018dram'!AH7</f>
        <v>0</v>
      </c>
      <c r="BZ7" s="91">
        <f>AQ7-'2018dram'!AJ7</f>
        <v>0</v>
      </c>
      <c r="CA7" s="227">
        <f t="shared" si="3"/>
        <v>0</v>
      </c>
      <c r="CB7" s="229">
        <f t="shared" si="4"/>
        <v>0</v>
      </c>
      <c r="CC7" s="199"/>
      <c r="CD7" s="200"/>
      <c r="CE7" s="189">
        <f t="shared" si="5"/>
        <v>0</v>
      </c>
      <c r="CF7" s="139">
        <f t="shared" si="6"/>
        <v>9170.6</v>
      </c>
    </row>
    <row r="8" spans="1:84" s="6" customFormat="1" ht="15" customHeight="1">
      <c r="A8" s="359" t="s">
        <v>1</v>
      </c>
      <c r="B8" s="194"/>
      <c r="C8" s="201"/>
      <c r="D8" s="201"/>
      <c r="E8" s="201"/>
      <c r="F8" s="201"/>
      <c r="G8" s="224">
        <v>10478.3</v>
      </c>
      <c r="H8" s="552">
        <f>B8+C8+D8+E8+F8+G8</f>
        <v>10478.3</v>
      </c>
      <c r="I8" s="15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v>165</v>
      </c>
      <c r="V8" s="26"/>
      <c r="W8" s="26"/>
      <c r="X8" s="26"/>
      <c r="Y8" s="26"/>
      <c r="Z8" s="26"/>
      <c r="AA8" s="26"/>
      <c r="AB8" s="26"/>
      <c r="AC8" s="26"/>
      <c r="AD8" s="26"/>
      <c r="AE8" s="26">
        <v>250</v>
      </c>
      <c r="AF8" s="26">
        <v>2180</v>
      </c>
      <c r="AG8" s="92">
        <v>137.8</v>
      </c>
      <c r="AH8" s="27"/>
      <c r="AI8" s="225">
        <f>I8+J8+K8+L8+M8+N8+O8+P8+Q8+R8+S8+T8+U8+V8+W8+X8+Y8+Z8+AA8+AB8+AC8+AD8+AE8+AF8+AG8+AH8</f>
        <v>2732.8</v>
      </c>
      <c r="AJ8" s="27"/>
      <c r="AK8" s="25">
        <v>14689.1</v>
      </c>
      <c r="AL8" s="25">
        <v>9293.3</v>
      </c>
      <c r="AM8" s="25"/>
      <c r="AN8" s="25">
        <v>485</v>
      </c>
      <c r="AO8" s="26"/>
      <c r="AP8" s="26"/>
      <c r="AQ8" s="26">
        <v>2000</v>
      </c>
      <c r="AR8" s="28">
        <f t="shared" si="1"/>
        <v>26467.4</v>
      </c>
      <c r="AS8" s="28">
        <f t="shared" si="2"/>
        <v>29200.2</v>
      </c>
      <c r="AT8" s="28">
        <f>I8-'2018dram'!B8</f>
        <v>0</v>
      </c>
      <c r="AU8" s="28">
        <f>J8-'2018dram'!C8</f>
        <v>0</v>
      </c>
      <c r="AV8" s="28">
        <f>K8-'2018dram'!D8-B8</f>
        <v>0</v>
      </c>
      <c r="AW8" s="28">
        <f>L8-'2018dram'!E8-C8</f>
        <v>0</v>
      </c>
      <c r="AX8" s="28">
        <f>M8-'2018dram'!F8-D8</f>
        <v>0</v>
      </c>
      <c r="AY8" s="28">
        <f>N8-'2018dram'!G8</f>
        <v>0</v>
      </c>
      <c r="AZ8" s="28">
        <f>O8-'2018dram'!H8</f>
        <v>0</v>
      </c>
      <c r="BA8" s="28">
        <f>P8-'2018dram'!I8</f>
        <v>0</v>
      </c>
      <c r="BB8" s="28">
        <f>Q8-'2018dram'!J8</f>
        <v>0</v>
      </c>
      <c r="BC8" s="28">
        <f>R8-'2018dram'!K8</f>
        <v>0</v>
      </c>
      <c r="BD8" s="28">
        <f>S8-'2018dram'!L8</f>
        <v>0</v>
      </c>
      <c r="BE8" s="28">
        <f>T8-'2018dram'!M8</f>
        <v>0</v>
      </c>
      <c r="BF8" s="28">
        <f>U8-'2018dram'!N8</f>
        <v>0</v>
      </c>
      <c r="BG8" s="28">
        <f>V8-'2018dram'!O8</f>
        <v>0</v>
      </c>
      <c r="BH8" s="28">
        <f>W8-'2018dram'!P8</f>
        <v>0</v>
      </c>
      <c r="BI8" s="28">
        <f>X8-'2018dram'!Q8</f>
        <v>0</v>
      </c>
      <c r="BJ8" s="28">
        <f>Y8-'2018dram'!R8</f>
        <v>0</v>
      </c>
      <c r="BK8" s="28">
        <f>Z8-'2018dram'!S8</f>
        <v>0</v>
      </c>
      <c r="BL8" s="28">
        <f>AA8-'2018dram'!T8</f>
        <v>0</v>
      </c>
      <c r="BM8" s="28">
        <f>AB8-'2018dram'!U8</f>
        <v>0</v>
      </c>
      <c r="BN8" s="28">
        <f>AC8-'2018dram'!V8-F8</f>
        <v>0</v>
      </c>
      <c r="BO8" s="28">
        <f>AD8-'2018dram'!W8</f>
        <v>0</v>
      </c>
      <c r="BP8" s="28">
        <f>AE8-'2018dram'!X8</f>
        <v>0</v>
      </c>
      <c r="BQ8" s="28">
        <f>AF8-'2018dram'!Y8</f>
        <v>0</v>
      </c>
      <c r="BR8" s="226">
        <f>AG8-'2018dram'!Z8</f>
        <v>0</v>
      </c>
      <c r="BS8" s="227">
        <f t="shared" si="7"/>
        <v>0</v>
      </c>
      <c r="BT8" s="228">
        <f>AJ8-'2018dram'!AC8</f>
        <v>0</v>
      </c>
      <c r="BU8" s="27">
        <f>AK8-'2018dram'!AD8-G8</f>
        <v>173.60000000000218</v>
      </c>
      <c r="BV8" s="27">
        <f>AL8-'2018dram'!AE8</f>
        <v>258.89999999999964</v>
      </c>
      <c r="BW8" s="27">
        <f>AM8-'2018dram'!AF8</f>
        <v>0</v>
      </c>
      <c r="BX8" s="27">
        <f>AN8-'2018dram'!AG8</f>
        <v>0</v>
      </c>
      <c r="BY8" s="27">
        <f>AO8-'2018dram'!AH8</f>
        <v>0</v>
      </c>
      <c r="BZ8" s="91">
        <f>AQ8-'2018dram'!AJ8</f>
        <v>0</v>
      </c>
      <c r="CA8" s="227">
        <f t="shared" si="3"/>
        <v>432.5000000000018</v>
      </c>
      <c r="CB8" s="229">
        <f t="shared" si="4"/>
        <v>432.5000000000018</v>
      </c>
      <c r="CC8" s="199"/>
      <c r="CD8" s="200"/>
      <c r="CE8" s="189">
        <f t="shared" si="5"/>
        <v>0</v>
      </c>
      <c r="CF8" s="139">
        <f t="shared" si="6"/>
        <v>29200.2</v>
      </c>
    </row>
    <row r="9" spans="1:84" s="6" customFormat="1" ht="15" customHeight="1">
      <c r="A9" s="359" t="s">
        <v>102</v>
      </c>
      <c r="B9" s="194"/>
      <c r="C9" s="201"/>
      <c r="D9" s="201"/>
      <c r="E9" s="201">
        <v>-1071.6</v>
      </c>
      <c r="F9" s="201"/>
      <c r="G9" s="224"/>
      <c r="H9" s="552">
        <f>B9+C9+D9+E9+F9+G9</f>
        <v>-1071.6</v>
      </c>
      <c r="I9" s="15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16502.7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92"/>
      <c r="AH9" s="27"/>
      <c r="AI9" s="225">
        <f t="shared" si="0"/>
        <v>16502.7</v>
      </c>
      <c r="AJ9" s="225"/>
      <c r="AK9" s="25"/>
      <c r="AL9" s="25"/>
      <c r="AM9" s="25"/>
      <c r="AN9" s="25"/>
      <c r="AO9" s="26"/>
      <c r="AP9" s="26"/>
      <c r="AQ9" s="26"/>
      <c r="AR9" s="28">
        <f t="shared" si="1"/>
        <v>0</v>
      </c>
      <c r="AS9" s="28">
        <f t="shared" si="2"/>
        <v>16502.7</v>
      </c>
      <c r="AT9" s="28">
        <f>I9-'2018dram'!B9</f>
        <v>0</v>
      </c>
      <c r="AU9" s="28">
        <f>J9-'2018dram'!C9</f>
        <v>0</v>
      </c>
      <c r="AV9" s="28">
        <f>K9-'2018dram'!D9-B9</f>
        <v>0</v>
      </c>
      <c r="AW9" s="28">
        <f>L9-'2018dram'!E9-C9</f>
        <v>0</v>
      </c>
      <c r="AX9" s="28">
        <f>M9-'2018dram'!F9-D9</f>
        <v>0</v>
      </c>
      <c r="AY9" s="28">
        <f>N9-'2018dram'!G9</f>
        <v>0</v>
      </c>
      <c r="AZ9" s="28">
        <f>O9-'2018dram'!H9</f>
        <v>0</v>
      </c>
      <c r="BA9" s="28">
        <f>P9-'2018dram'!I9</f>
        <v>0</v>
      </c>
      <c r="BB9" s="28">
        <f>Q9-'2018dram'!J9</f>
        <v>0</v>
      </c>
      <c r="BC9" s="28">
        <f>R9-'2018dram'!K9</f>
        <v>0</v>
      </c>
      <c r="BD9" s="28">
        <f>S9-'2018dram'!L9</f>
        <v>0</v>
      </c>
      <c r="BE9" s="28">
        <f>T9-'2018dram'!M9</f>
        <v>0</v>
      </c>
      <c r="BF9" s="28">
        <f>U9-'2018dram'!N9</f>
        <v>0</v>
      </c>
      <c r="BG9" s="28">
        <f>V9-'2018dram'!O9-E9</f>
        <v>711.8999999999992</v>
      </c>
      <c r="BH9" s="28">
        <f>W9-'2018dram'!P9</f>
        <v>0</v>
      </c>
      <c r="BI9" s="28">
        <f>X9-'2018dram'!Q9</f>
        <v>0</v>
      </c>
      <c r="BJ9" s="28">
        <f>Y9-'2018dram'!R9</f>
        <v>0</v>
      </c>
      <c r="BK9" s="28">
        <f>Z9-'2018dram'!S9</f>
        <v>0</v>
      </c>
      <c r="BL9" s="28">
        <f>AA9-'2018dram'!T9</f>
        <v>0</v>
      </c>
      <c r="BM9" s="28">
        <f>AB9-'2018dram'!U9</f>
        <v>0</v>
      </c>
      <c r="BN9" s="28">
        <f>AC9-'2018dram'!V9-F9</f>
        <v>0</v>
      </c>
      <c r="BO9" s="28">
        <f>AD9-'2018dram'!W9</f>
        <v>0</v>
      </c>
      <c r="BP9" s="28">
        <f>AE9-'2018dram'!X9</f>
        <v>0</v>
      </c>
      <c r="BQ9" s="28">
        <f>AF9-'2018dram'!Y9</f>
        <v>0</v>
      </c>
      <c r="BR9" s="226">
        <f>AG9-'2018dram'!Z9</f>
        <v>0</v>
      </c>
      <c r="BS9" s="227">
        <f t="shared" si="7"/>
        <v>711.8999999999992</v>
      </c>
      <c r="BT9" s="228">
        <f>AJ9-'2018dram'!AC9</f>
        <v>0</v>
      </c>
      <c r="BU9" s="27">
        <f>AK9-'2018dram'!AD9-G9</f>
        <v>0</v>
      </c>
      <c r="BV9" s="27">
        <f>AL9-'2018dram'!AE9</f>
        <v>0</v>
      </c>
      <c r="BW9" s="27">
        <f>AM9-'2018dram'!AF9</f>
        <v>0</v>
      </c>
      <c r="BX9" s="27">
        <f>AN9-'2018dram'!AG9</f>
        <v>0</v>
      </c>
      <c r="BY9" s="27">
        <f>AO9-'2018dram'!AH9</f>
        <v>0</v>
      </c>
      <c r="BZ9" s="91">
        <f>AQ9-'2018dram'!AJ9</f>
        <v>0</v>
      </c>
      <c r="CA9" s="227">
        <f t="shared" si="3"/>
        <v>0</v>
      </c>
      <c r="CB9" s="229">
        <f t="shared" si="4"/>
        <v>711.8999999999992</v>
      </c>
      <c r="CC9" s="199"/>
      <c r="CD9" s="200"/>
      <c r="CE9" s="189">
        <f t="shared" si="5"/>
        <v>0</v>
      </c>
      <c r="CF9" s="139">
        <f t="shared" si="6"/>
        <v>16502.7</v>
      </c>
    </row>
    <row r="10" spans="1:85" s="6" customFormat="1" ht="15" customHeight="1">
      <c r="A10" s="359" t="s">
        <v>107</v>
      </c>
      <c r="B10" s="194"/>
      <c r="C10" s="201"/>
      <c r="D10" s="201"/>
      <c r="E10" s="201"/>
      <c r="F10" s="201"/>
      <c r="G10" s="224"/>
      <c r="H10" s="552">
        <f aca="true" t="shared" si="8" ref="H10:H19">B10+C10+D10+E10+F10+G10</f>
        <v>0</v>
      </c>
      <c r="I10" s="15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92"/>
      <c r="AH10" s="27"/>
      <c r="AI10" s="225">
        <f t="shared" si="0"/>
        <v>0</v>
      </c>
      <c r="AJ10" s="225"/>
      <c r="AK10" s="25"/>
      <c r="AL10" s="25"/>
      <c r="AM10" s="25"/>
      <c r="AN10" s="25"/>
      <c r="AO10" s="26"/>
      <c r="AP10" s="26"/>
      <c r="AQ10" s="26"/>
      <c r="AR10" s="28">
        <f t="shared" si="1"/>
        <v>0</v>
      </c>
      <c r="AS10" s="28">
        <f t="shared" si="2"/>
        <v>0</v>
      </c>
      <c r="AT10" s="28">
        <f>I10-'2018dram'!B10</f>
        <v>0</v>
      </c>
      <c r="AU10" s="28">
        <f>J10-'2018dram'!C10</f>
        <v>0</v>
      </c>
      <c r="AV10" s="28">
        <f>K10-'2018dram'!D10-B10</f>
        <v>0</v>
      </c>
      <c r="AW10" s="28">
        <f>L10-'2018dram'!E10-C10</f>
        <v>0</v>
      </c>
      <c r="AX10" s="28">
        <f>M10-'2018dram'!F10-D10</f>
        <v>0</v>
      </c>
      <c r="AY10" s="28">
        <f>N10-'2018dram'!G10</f>
        <v>0</v>
      </c>
      <c r="AZ10" s="28">
        <f>O10-'2018dram'!H10</f>
        <v>0</v>
      </c>
      <c r="BA10" s="28">
        <f>P10-'2018dram'!I10</f>
        <v>0</v>
      </c>
      <c r="BB10" s="28">
        <f>Q10-'2018dram'!J10</f>
        <v>0</v>
      </c>
      <c r="BC10" s="28">
        <f>R10-'2018dram'!K10</f>
        <v>0</v>
      </c>
      <c r="BD10" s="28">
        <f>S10-'2018dram'!L10</f>
        <v>0</v>
      </c>
      <c r="BE10" s="28">
        <f>T10-'2018dram'!M10</f>
        <v>0</v>
      </c>
      <c r="BF10" s="28">
        <f>U10-'2018dram'!N10</f>
        <v>0</v>
      </c>
      <c r="BG10" s="28">
        <f>V10-'2018dram'!O10</f>
        <v>0</v>
      </c>
      <c r="BH10" s="28">
        <f>W10-'2018dram'!P10</f>
        <v>0</v>
      </c>
      <c r="BI10" s="28">
        <f>X10-'2018dram'!Q10</f>
        <v>0</v>
      </c>
      <c r="BJ10" s="28">
        <f>Y10-'2018dram'!R10</f>
        <v>0</v>
      </c>
      <c r="BK10" s="28">
        <f>Z10-'2018dram'!S10</f>
        <v>0</v>
      </c>
      <c r="BL10" s="28">
        <f>AA10-'2018dram'!T10</f>
        <v>0</v>
      </c>
      <c r="BM10" s="28">
        <f>AB10-'2018dram'!U10</f>
        <v>0</v>
      </c>
      <c r="BN10" s="28">
        <f>AC10-'2018dram'!V10-F10</f>
        <v>0</v>
      </c>
      <c r="BO10" s="28">
        <f>AD10-'2018dram'!W10</f>
        <v>0</v>
      </c>
      <c r="BP10" s="28">
        <f>AE10-'2018dram'!X10</f>
        <v>0</v>
      </c>
      <c r="BQ10" s="28">
        <f>AF10-'2018dram'!Y10</f>
        <v>0</v>
      </c>
      <c r="BR10" s="226">
        <f>AG10-'2018dram'!Z10</f>
        <v>0</v>
      </c>
      <c r="BS10" s="227">
        <f t="shared" si="7"/>
        <v>0</v>
      </c>
      <c r="BT10" s="228">
        <f>AJ10-'2018dram'!AC10</f>
        <v>0</v>
      </c>
      <c r="BU10" s="27">
        <f>AK10-'2018dram'!AD10-G10</f>
        <v>0</v>
      </c>
      <c r="BV10" s="27">
        <f>AL10-'2018dram'!AE10</f>
        <v>0</v>
      </c>
      <c r="BW10" s="27">
        <f>AM10-'2018dram'!AF10</f>
        <v>0</v>
      </c>
      <c r="BX10" s="27">
        <f>AN10-'2018dram'!AG10</f>
        <v>0</v>
      </c>
      <c r="BY10" s="27">
        <f>AO10-'2018dram'!AH10</f>
        <v>0</v>
      </c>
      <c r="BZ10" s="91">
        <f>AQ10-'2018dram'!AJ10</f>
        <v>0</v>
      </c>
      <c r="CA10" s="227">
        <f t="shared" si="3"/>
        <v>0</v>
      </c>
      <c r="CB10" s="229">
        <f t="shared" si="4"/>
        <v>0</v>
      </c>
      <c r="CC10" s="199"/>
      <c r="CD10" s="200"/>
      <c r="CE10" s="189">
        <f t="shared" si="5"/>
        <v>0</v>
      </c>
      <c r="CF10" s="139">
        <f t="shared" si="6"/>
        <v>0</v>
      </c>
      <c r="CG10" s="6" t="s">
        <v>86</v>
      </c>
    </row>
    <row r="11" spans="1:84" s="6" customFormat="1" ht="15" customHeight="1">
      <c r="A11" s="359" t="s">
        <v>121</v>
      </c>
      <c r="B11" s="194"/>
      <c r="C11" s="201"/>
      <c r="D11" s="201"/>
      <c r="E11" s="201"/>
      <c r="F11" s="201"/>
      <c r="G11" s="224"/>
      <c r="H11" s="552">
        <f t="shared" si="8"/>
        <v>0</v>
      </c>
      <c r="I11" s="15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>
        <v>6944.8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92"/>
      <c r="AH11" s="27"/>
      <c r="AI11" s="225">
        <f t="shared" si="0"/>
        <v>6944.8</v>
      </c>
      <c r="AJ11" s="225"/>
      <c r="AK11" s="25"/>
      <c r="AL11" s="25"/>
      <c r="AM11" s="25"/>
      <c r="AN11" s="25"/>
      <c r="AO11" s="26"/>
      <c r="AP11" s="26"/>
      <c r="AQ11" s="26"/>
      <c r="AR11" s="28">
        <f t="shared" si="1"/>
        <v>0</v>
      </c>
      <c r="AS11" s="28">
        <f t="shared" si="2"/>
        <v>6944.8</v>
      </c>
      <c r="AT11" s="28">
        <f>I11-'2018dram'!B11</f>
        <v>0</v>
      </c>
      <c r="AU11" s="28">
        <f>J11-'2018dram'!C11</f>
        <v>0</v>
      </c>
      <c r="AV11" s="28">
        <f>K11-'2018dram'!D11-B11</f>
        <v>0</v>
      </c>
      <c r="AW11" s="28">
        <f>L11-'2018dram'!E11-C11</f>
        <v>0</v>
      </c>
      <c r="AX11" s="28">
        <f>M11-'2018dram'!F11-D11</f>
        <v>0</v>
      </c>
      <c r="AY11" s="28">
        <f>N11-'2018dram'!G11</f>
        <v>0</v>
      </c>
      <c r="AZ11" s="28">
        <f>O11-'2018dram'!H11</f>
        <v>0</v>
      </c>
      <c r="BA11" s="28">
        <f>P11-'2018dram'!I11</f>
        <v>0</v>
      </c>
      <c r="BB11" s="28">
        <f>Q11-'2018dram'!J11</f>
        <v>0</v>
      </c>
      <c r="BC11" s="28">
        <f>R11-'2018dram'!K11</f>
        <v>0</v>
      </c>
      <c r="BD11" s="28">
        <f>S11-'2018dram'!L11</f>
        <v>0</v>
      </c>
      <c r="BE11" s="28">
        <f>T11-'2018dram'!M11</f>
        <v>0</v>
      </c>
      <c r="BF11" s="28">
        <f>U11-'2018dram'!N11</f>
        <v>0</v>
      </c>
      <c r="BG11" s="28">
        <f>V11-'2018dram'!O11</f>
        <v>0</v>
      </c>
      <c r="BH11" s="28">
        <f>W11-'2018dram'!P11</f>
        <v>0</v>
      </c>
      <c r="BI11" s="28">
        <f>X11-'2018dram'!Q11</f>
        <v>0</v>
      </c>
      <c r="BJ11" s="28">
        <f>Y11-'2018dram'!R11</f>
        <v>0</v>
      </c>
      <c r="BK11" s="28">
        <f>Z11-'2018dram'!S11</f>
        <v>0</v>
      </c>
      <c r="BL11" s="28">
        <f>AA11-'2018dram'!T11</f>
        <v>0</v>
      </c>
      <c r="BM11" s="28">
        <f>AB11-'2018dram'!U11</f>
        <v>0</v>
      </c>
      <c r="BN11" s="28">
        <f>AC11-'2018dram'!V11-F11</f>
        <v>0</v>
      </c>
      <c r="BO11" s="28">
        <f>AD11-'2018dram'!W11</f>
        <v>0</v>
      </c>
      <c r="BP11" s="28">
        <f>AE11-'2018dram'!X11</f>
        <v>0</v>
      </c>
      <c r="BQ11" s="28">
        <f>AF11-'2018dram'!Y11</f>
        <v>0</v>
      </c>
      <c r="BR11" s="226">
        <f>AG11-'2018dram'!Z11</f>
        <v>0</v>
      </c>
      <c r="BS11" s="227">
        <f t="shared" si="7"/>
        <v>0</v>
      </c>
      <c r="BT11" s="228">
        <f>AJ11-'2018dram'!AC11</f>
        <v>0</v>
      </c>
      <c r="BU11" s="27">
        <f>AK11-'2018dram'!AD11-G11</f>
        <v>0</v>
      </c>
      <c r="BV11" s="27">
        <f>AL11-'2018dram'!AE11</f>
        <v>0</v>
      </c>
      <c r="BW11" s="27">
        <f>AM11-'2018dram'!AF11</f>
        <v>0</v>
      </c>
      <c r="BX11" s="27">
        <f>AN11-'2018dram'!AG11</f>
        <v>0</v>
      </c>
      <c r="BY11" s="27">
        <f>AO11-'2018dram'!AH11</f>
        <v>0</v>
      </c>
      <c r="BZ11" s="91">
        <f>AQ11-'2018dram'!AJ11</f>
        <v>0</v>
      </c>
      <c r="CA11" s="227">
        <f t="shared" si="3"/>
        <v>0</v>
      </c>
      <c r="CB11" s="229">
        <f t="shared" si="4"/>
        <v>0</v>
      </c>
      <c r="CC11" s="199"/>
      <c r="CD11" s="200"/>
      <c r="CE11" s="189">
        <f t="shared" si="5"/>
        <v>0</v>
      </c>
      <c r="CF11" s="139">
        <f t="shared" si="6"/>
        <v>6944.8</v>
      </c>
    </row>
    <row r="12" spans="1:84" s="6" customFormat="1" ht="15" customHeight="1">
      <c r="A12" s="359" t="s">
        <v>125</v>
      </c>
      <c r="B12" s="194"/>
      <c r="C12" s="201"/>
      <c r="D12" s="201"/>
      <c r="E12" s="201"/>
      <c r="F12" s="201"/>
      <c r="G12" s="224"/>
      <c r="H12" s="552">
        <f t="shared" si="8"/>
        <v>0</v>
      </c>
      <c r="I12" s="15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6158.9</v>
      </c>
      <c r="AF12" s="26">
        <v>2790</v>
      </c>
      <c r="AG12" s="92"/>
      <c r="AH12" s="27"/>
      <c r="AI12" s="225">
        <f t="shared" si="0"/>
        <v>8948.9</v>
      </c>
      <c r="AJ12" s="225"/>
      <c r="AK12" s="25"/>
      <c r="AL12" s="25"/>
      <c r="AM12" s="25"/>
      <c r="AN12" s="25"/>
      <c r="AO12" s="26"/>
      <c r="AP12" s="26"/>
      <c r="AQ12" s="26"/>
      <c r="AR12" s="28">
        <f t="shared" si="1"/>
        <v>0</v>
      </c>
      <c r="AS12" s="28">
        <f t="shared" si="2"/>
        <v>8948.9</v>
      </c>
      <c r="AT12" s="28">
        <f>I12-'2018dram'!B12</f>
        <v>0</v>
      </c>
      <c r="AU12" s="28">
        <f>J12-'2018dram'!C12</f>
        <v>0</v>
      </c>
      <c r="AV12" s="28">
        <f>K12-'2018dram'!D12-B12</f>
        <v>0</v>
      </c>
      <c r="AW12" s="28">
        <f>L12-'2018dram'!E12-C12</f>
        <v>0</v>
      </c>
      <c r="AX12" s="28">
        <f>M12-'2018dram'!F12-D12</f>
        <v>0</v>
      </c>
      <c r="AY12" s="28">
        <f>N12-'2018dram'!G12</f>
        <v>0</v>
      </c>
      <c r="AZ12" s="28">
        <f>O12-'2018dram'!H12</f>
        <v>0</v>
      </c>
      <c r="BA12" s="28">
        <f>P12-'2018dram'!I12</f>
        <v>0</v>
      </c>
      <c r="BB12" s="28">
        <f>Q12-'2018dram'!J12</f>
        <v>0</v>
      </c>
      <c r="BC12" s="28">
        <f>R12-'2018dram'!K12</f>
        <v>0</v>
      </c>
      <c r="BD12" s="28">
        <f>S12-'2018dram'!L12</f>
        <v>0</v>
      </c>
      <c r="BE12" s="28">
        <f>T12-'2018dram'!M12</f>
        <v>0</v>
      </c>
      <c r="BF12" s="28">
        <f>U12-'2018dram'!N12</f>
        <v>0</v>
      </c>
      <c r="BG12" s="28">
        <f>V12-'2018dram'!O12</f>
        <v>0</v>
      </c>
      <c r="BH12" s="28">
        <f>W12-'2018dram'!P12</f>
        <v>0</v>
      </c>
      <c r="BI12" s="28">
        <f>X12-'2018dram'!Q12</f>
        <v>0</v>
      </c>
      <c r="BJ12" s="28">
        <f>Y12-'2018dram'!R12</f>
        <v>0</v>
      </c>
      <c r="BK12" s="28">
        <f>Z12-'2018dram'!S12</f>
        <v>0</v>
      </c>
      <c r="BL12" s="28">
        <f>AA12-'2018dram'!T12</f>
        <v>0</v>
      </c>
      <c r="BM12" s="28">
        <f>AB12-'2018dram'!U12</f>
        <v>0</v>
      </c>
      <c r="BN12" s="28">
        <f>AC12-'2018dram'!V12-F12</f>
        <v>0</v>
      </c>
      <c r="BO12" s="28">
        <f>AD12-'2018dram'!W12</f>
        <v>0</v>
      </c>
      <c r="BP12" s="28">
        <f>AE12-'2018dram'!X12</f>
        <v>0</v>
      </c>
      <c r="BQ12" s="28">
        <f>AF12-'2018dram'!Y12</f>
        <v>0</v>
      </c>
      <c r="BR12" s="226">
        <f>AG12-'2018dram'!Z12</f>
        <v>0</v>
      </c>
      <c r="BS12" s="227">
        <f t="shared" si="7"/>
        <v>0</v>
      </c>
      <c r="BT12" s="228">
        <f>AJ12-'2018dram'!AC12</f>
        <v>0</v>
      </c>
      <c r="BU12" s="27">
        <f>AK12-'2018dram'!AD12-G12</f>
        <v>0</v>
      </c>
      <c r="BV12" s="27">
        <f>AL12-'2018dram'!AE12</f>
        <v>0</v>
      </c>
      <c r="BW12" s="27">
        <f>AM12-'2018dram'!AF12</f>
        <v>0</v>
      </c>
      <c r="BX12" s="27">
        <f>AN12-'2018dram'!AG12</f>
        <v>0</v>
      </c>
      <c r="BY12" s="27">
        <f>AO12-'2018dram'!AH12</f>
        <v>0</v>
      </c>
      <c r="BZ12" s="91">
        <f>AQ12-'2018dram'!AJ12</f>
        <v>0</v>
      </c>
      <c r="CA12" s="227">
        <f t="shared" si="3"/>
        <v>0</v>
      </c>
      <c r="CB12" s="229">
        <f t="shared" si="4"/>
        <v>0</v>
      </c>
      <c r="CC12" s="199"/>
      <c r="CD12" s="200"/>
      <c r="CE12" s="189">
        <f t="shared" si="5"/>
        <v>0</v>
      </c>
      <c r="CF12" s="139">
        <f t="shared" si="6"/>
        <v>8948.9</v>
      </c>
    </row>
    <row r="13" spans="1:84" s="6" customFormat="1" ht="15" customHeight="1">
      <c r="A13" s="359" t="s">
        <v>100</v>
      </c>
      <c r="B13" s="194"/>
      <c r="C13" s="201"/>
      <c r="D13" s="201"/>
      <c r="E13" s="201"/>
      <c r="F13" s="201"/>
      <c r="G13" s="224"/>
      <c r="H13" s="552">
        <f t="shared" si="8"/>
        <v>0</v>
      </c>
      <c r="I13" s="159">
        <v>51252.5</v>
      </c>
      <c r="J13" s="26"/>
      <c r="K13" s="26"/>
      <c r="L13" s="26"/>
      <c r="M13" s="26">
        <v>960</v>
      </c>
      <c r="N13" s="26">
        <v>198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>
        <v>33107.1</v>
      </c>
      <c r="AA13" s="26">
        <v>1743.7</v>
      </c>
      <c r="AB13" s="26"/>
      <c r="AC13" s="26"/>
      <c r="AD13" s="26"/>
      <c r="AE13" s="26">
        <v>1222.8</v>
      </c>
      <c r="AF13" s="26"/>
      <c r="AG13" s="92">
        <v>3810</v>
      </c>
      <c r="AH13" s="27"/>
      <c r="AI13" s="225">
        <f t="shared" si="0"/>
        <v>92294.1</v>
      </c>
      <c r="AJ13" s="225"/>
      <c r="AK13" s="25"/>
      <c r="AL13" s="25"/>
      <c r="AM13" s="25"/>
      <c r="AN13" s="25"/>
      <c r="AO13" s="26">
        <v>5221.6</v>
      </c>
      <c r="AP13" s="26"/>
      <c r="AQ13" s="26"/>
      <c r="AR13" s="28">
        <f t="shared" si="1"/>
        <v>5221.6</v>
      </c>
      <c r="AS13" s="28">
        <f t="shared" si="2"/>
        <v>97515.70000000001</v>
      </c>
      <c r="AT13" s="28">
        <f>I13-'2018dram'!B13</f>
        <v>0</v>
      </c>
      <c r="AU13" s="28">
        <f>J13-'2018dram'!C13</f>
        <v>0</v>
      </c>
      <c r="AV13" s="28">
        <f>K13-'2018dram'!D13-B13</f>
        <v>0</v>
      </c>
      <c r="AW13" s="28">
        <f>L13-'2018dram'!E13-C13</f>
        <v>0</v>
      </c>
      <c r="AX13" s="28">
        <f>M13-'2018dram'!F13-D13</f>
        <v>0</v>
      </c>
      <c r="AY13" s="28">
        <f>N13-'2018dram'!G13</f>
        <v>0</v>
      </c>
      <c r="AZ13" s="28">
        <f>O13-'2018dram'!H13</f>
        <v>0</v>
      </c>
      <c r="BA13" s="28">
        <f>P13-'2018dram'!I13</f>
        <v>0</v>
      </c>
      <c r="BB13" s="28">
        <f>Q13-'2018dram'!J13</f>
        <v>0</v>
      </c>
      <c r="BC13" s="28">
        <f>R13-'2018dram'!K13</f>
        <v>0</v>
      </c>
      <c r="BD13" s="28">
        <f>S13-'2018dram'!L13</f>
        <v>0</v>
      </c>
      <c r="BE13" s="28">
        <f>T13-'2018dram'!M13</f>
        <v>0</v>
      </c>
      <c r="BF13" s="28">
        <f>U13-'2018dram'!N13</f>
        <v>0</v>
      </c>
      <c r="BG13" s="28">
        <f>V13-'2018dram'!O13</f>
        <v>0</v>
      </c>
      <c r="BH13" s="28">
        <f>W13-'2018dram'!P13</f>
        <v>0</v>
      </c>
      <c r="BI13" s="28">
        <f>X13-'2018dram'!Q13</f>
        <v>0</v>
      </c>
      <c r="BJ13" s="28">
        <f>Y13-'2018dram'!R13</f>
        <v>0</v>
      </c>
      <c r="BK13" s="28">
        <f>Z13-'2018dram'!S13</f>
        <v>0</v>
      </c>
      <c r="BL13" s="28">
        <f>AA13-'2018dram'!T13</f>
        <v>0</v>
      </c>
      <c r="BM13" s="28">
        <f>AB13-'2018dram'!U13</f>
        <v>0</v>
      </c>
      <c r="BN13" s="28">
        <f>AC13-'2018dram'!V13-F13</f>
        <v>0</v>
      </c>
      <c r="BO13" s="28">
        <f>AD13-'2018dram'!W13</f>
        <v>0</v>
      </c>
      <c r="BP13" s="28">
        <f>AE13-'2018dram'!X13</f>
        <v>0</v>
      </c>
      <c r="BQ13" s="28">
        <f>AF13-'2018dram'!Y13</f>
        <v>0</v>
      </c>
      <c r="BR13" s="226">
        <f>AG13-'2018dram'!Z13</f>
        <v>-19.5</v>
      </c>
      <c r="BS13" s="227">
        <f t="shared" si="7"/>
        <v>-19.5</v>
      </c>
      <c r="BT13" s="228">
        <f>AJ13-'2018dram'!AC13</f>
        <v>0</v>
      </c>
      <c r="BU13" s="27">
        <f>AK13-'2018dram'!AD13-G13</f>
        <v>0</v>
      </c>
      <c r="BV13" s="27">
        <f>AL13-'2018dram'!AE13</f>
        <v>0</v>
      </c>
      <c r="BW13" s="27">
        <f>AM13-'2018dram'!AF13</f>
        <v>0</v>
      </c>
      <c r="BX13" s="27">
        <f>AN13-'2018dram'!AG13</f>
        <v>0</v>
      </c>
      <c r="BY13" s="27">
        <f>AO13-'2018dram'!AH13</f>
        <v>0</v>
      </c>
      <c r="BZ13" s="91">
        <f>AQ13-'2018dram'!AJ13</f>
        <v>0</v>
      </c>
      <c r="CA13" s="227">
        <f t="shared" si="3"/>
        <v>0</v>
      </c>
      <c r="CB13" s="229">
        <f t="shared" si="4"/>
        <v>-19.5</v>
      </c>
      <c r="CC13" s="199"/>
      <c r="CD13" s="200"/>
      <c r="CE13" s="189">
        <f t="shared" si="5"/>
        <v>0</v>
      </c>
      <c r="CF13" s="139">
        <f t="shared" si="6"/>
        <v>97515.70000000001</v>
      </c>
    </row>
    <row r="14" spans="1:84" s="6" customFormat="1" ht="15" customHeight="1">
      <c r="A14" s="359" t="s">
        <v>99</v>
      </c>
      <c r="B14" s="194"/>
      <c r="C14" s="201"/>
      <c r="D14" s="201"/>
      <c r="E14" s="201"/>
      <c r="F14" s="201"/>
      <c r="G14" s="224"/>
      <c r="H14" s="552">
        <f t="shared" si="8"/>
        <v>0</v>
      </c>
      <c r="I14" s="159">
        <v>2892.4</v>
      </c>
      <c r="J14" s="26"/>
      <c r="K14" s="26"/>
      <c r="L14" s="26">
        <v>617.2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>
        <v>200</v>
      </c>
      <c r="Z14" s="26"/>
      <c r="AA14" s="26">
        <v>150</v>
      </c>
      <c r="AB14" s="26"/>
      <c r="AC14" s="26"/>
      <c r="AD14" s="26"/>
      <c r="AE14" s="26"/>
      <c r="AF14" s="26"/>
      <c r="AG14" s="92"/>
      <c r="AH14" s="27"/>
      <c r="AI14" s="225">
        <f t="shared" si="0"/>
        <v>3859.6000000000004</v>
      </c>
      <c r="AJ14" s="225"/>
      <c r="AK14" s="25"/>
      <c r="AL14" s="25"/>
      <c r="AM14" s="25"/>
      <c r="AN14" s="25"/>
      <c r="AO14" s="26"/>
      <c r="AP14" s="26"/>
      <c r="AQ14" s="26"/>
      <c r="AR14" s="28">
        <f t="shared" si="1"/>
        <v>0</v>
      </c>
      <c r="AS14" s="28">
        <f t="shared" si="2"/>
        <v>3859.6000000000004</v>
      </c>
      <c r="AT14" s="28">
        <f>I14-'2018dram'!B14</f>
        <v>0</v>
      </c>
      <c r="AU14" s="28">
        <f>J14-'2018dram'!C14</f>
        <v>0</v>
      </c>
      <c r="AV14" s="28">
        <f>K14-'2018dram'!D14-B14</f>
        <v>0</v>
      </c>
      <c r="AW14" s="28">
        <f>L14-'2018dram'!E14-C14</f>
        <v>0</v>
      </c>
      <c r="AX14" s="28">
        <f>M14-'2018dram'!F14-D14</f>
        <v>0</v>
      </c>
      <c r="AY14" s="28">
        <f>N14-'2018dram'!G14</f>
        <v>0</v>
      </c>
      <c r="AZ14" s="28">
        <f>O14-'2018dram'!H14</f>
        <v>0</v>
      </c>
      <c r="BA14" s="28">
        <f>P14-'2018dram'!I14</f>
        <v>0</v>
      </c>
      <c r="BB14" s="28">
        <f>Q14-'2018dram'!J14</f>
        <v>0</v>
      </c>
      <c r="BC14" s="28">
        <f>R14-'2018dram'!K14</f>
        <v>0</v>
      </c>
      <c r="BD14" s="28">
        <f>S14-'2018dram'!L14</f>
        <v>0</v>
      </c>
      <c r="BE14" s="28">
        <f>T14-'2018dram'!M14</f>
        <v>0</v>
      </c>
      <c r="BF14" s="28">
        <f>U14-'2018dram'!N14</f>
        <v>0</v>
      </c>
      <c r="BG14" s="28">
        <f>V14-'2018dram'!O14</f>
        <v>0</v>
      </c>
      <c r="BH14" s="28">
        <f>W14-'2018dram'!P14</f>
        <v>0</v>
      </c>
      <c r="BI14" s="28">
        <f>X14-'2018dram'!Q14</f>
        <v>0</v>
      </c>
      <c r="BJ14" s="28">
        <f>Y14-'2018dram'!R14</f>
        <v>0</v>
      </c>
      <c r="BK14" s="28">
        <f>Z14-'2018dram'!S14</f>
        <v>0</v>
      </c>
      <c r="BL14" s="28">
        <f>AA14-'2018dram'!T14</f>
        <v>0</v>
      </c>
      <c r="BM14" s="28">
        <f>AB14-'2018dram'!U14</f>
        <v>0</v>
      </c>
      <c r="BN14" s="28">
        <f>AC14-'2018dram'!V14-F14</f>
        <v>0</v>
      </c>
      <c r="BO14" s="28">
        <f>AD14-'2018dram'!W14</f>
        <v>0</v>
      </c>
      <c r="BP14" s="28">
        <f>AE14-'2018dram'!X14</f>
        <v>0</v>
      </c>
      <c r="BQ14" s="28">
        <f>AF14-'2018dram'!Y14</f>
        <v>0</v>
      </c>
      <c r="BR14" s="226">
        <f>AG14-'2018dram'!Z14</f>
        <v>0</v>
      </c>
      <c r="BS14" s="227">
        <f t="shared" si="7"/>
        <v>0</v>
      </c>
      <c r="BT14" s="228">
        <f>AJ14-'2018dram'!AC14</f>
        <v>0</v>
      </c>
      <c r="BU14" s="27">
        <f>AK14-'2018dram'!AD14-G14</f>
        <v>0</v>
      </c>
      <c r="BV14" s="27">
        <f>AL14-'2018dram'!AE14</f>
        <v>0</v>
      </c>
      <c r="BW14" s="27">
        <f>AM14-'2018dram'!AF14</f>
        <v>0</v>
      </c>
      <c r="BX14" s="27">
        <f>AN14-'2018dram'!AG14</f>
        <v>0</v>
      </c>
      <c r="BY14" s="27">
        <f>AO14-'2018dram'!AH14</f>
        <v>0</v>
      </c>
      <c r="BZ14" s="91">
        <f>AQ14-'2018dram'!AJ14</f>
        <v>0</v>
      </c>
      <c r="CA14" s="227">
        <f t="shared" si="3"/>
        <v>0</v>
      </c>
      <c r="CB14" s="229">
        <f t="shared" si="4"/>
        <v>0</v>
      </c>
      <c r="CC14" s="199"/>
      <c r="CD14" s="200"/>
      <c r="CE14" s="189">
        <f t="shared" si="5"/>
        <v>0</v>
      </c>
      <c r="CF14" s="139">
        <f t="shared" si="6"/>
        <v>3859.6000000000004</v>
      </c>
    </row>
    <row r="15" spans="1:84" s="6" customFormat="1" ht="15" customHeight="1">
      <c r="A15" s="359" t="s">
        <v>98</v>
      </c>
      <c r="B15" s="194"/>
      <c r="C15" s="201"/>
      <c r="D15" s="201"/>
      <c r="E15" s="201"/>
      <c r="F15" s="201"/>
      <c r="G15" s="224"/>
      <c r="H15" s="552">
        <f t="shared" si="8"/>
        <v>0</v>
      </c>
      <c r="I15" s="15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92"/>
      <c r="AH15" s="27"/>
      <c r="AI15" s="225">
        <f t="shared" si="0"/>
        <v>0</v>
      </c>
      <c r="AJ15" s="225"/>
      <c r="AK15" s="25"/>
      <c r="AL15" s="25"/>
      <c r="AM15" s="25"/>
      <c r="AN15" s="25"/>
      <c r="AO15" s="26"/>
      <c r="AP15" s="26"/>
      <c r="AQ15" s="26"/>
      <c r="AR15" s="28">
        <f t="shared" si="1"/>
        <v>0</v>
      </c>
      <c r="AS15" s="28">
        <f t="shared" si="2"/>
        <v>0</v>
      </c>
      <c r="AT15" s="28">
        <f>I15-'2018dram'!B15</f>
        <v>0</v>
      </c>
      <c r="AU15" s="28">
        <f>J15-'2018dram'!C15</f>
        <v>0</v>
      </c>
      <c r="AV15" s="28">
        <f>K15-'2018dram'!D15-B15</f>
        <v>0</v>
      </c>
      <c r="AW15" s="28">
        <f>L15-'2018dram'!E15-C15</f>
        <v>0</v>
      </c>
      <c r="AX15" s="28">
        <f>M15-'2018dram'!F15-D15</f>
        <v>0</v>
      </c>
      <c r="AY15" s="28">
        <f>N15-'2018dram'!G15</f>
        <v>0</v>
      </c>
      <c r="AZ15" s="28">
        <f>O15-'2018dram'!H15</f>
        <v>0</v>
      </c>
      <c r="BA15" s="28">
        <f>P15-'2018dram'!I15</f>
        <v>0</v>
      </c>
      <c r="BB15" s="28">
        <f>Q15-'2018dram'!J15</f>
        <v>0</v>
      </c>
      <c r="BC15" s="28">
        <f>R15-'2018dram'!K15</f>
        <v>0</v>
      </c>
      <c r="BD15" s="28">
        <f>S15-'2018dram'!L15</f>
        <v>0</v>
      </c>
      <c r="BE15" s="28">
        <f>T15-'2018dram'!M15</f>
        <v>0</v>
      </c>
      <c r="BF15" s="28">
        <f>U15-'2018dram'!N15</f>
        <v>0</v>
      </c>
      <c r="BG15" s="28">
        <f>V15-'2018dram'!O15</f>
        <v>0</v>
      </c>
      <c r="BH15" s="28">
        <f>W15-'2018dram'!P15</f>
        <v>0</v>
      </c>
      <c r="BI15" s="28">
        <f>X15-'2018dram'!Q15</f>
        <v>0</v>
      </c>
      <c r="BJ15" s="28">
        <f>Y15-'2018dram'!R15</f>
        <v>0</v>
      </c>
      <c r="BK15" s="28">
        <f>Z15-'2018dram'!S15</f>
        <v>0</v>
      </c>
      <c r="BL15" s="28">
        <f>AA15-'2018dram'!T15</f>
        <v>0</v>
      </c>
      <c r="BM15" s="28">
        <f>AB15-'2018dram'!U15</f>
        <v>0</v>
      </c>
      <c r="BN15" s="28">
        <f>AC15-'2018dram'!V15-F15</f>
        <v>0</v>
      </c>
      <c r="BO15" s="28">
        <f>AD15-'2018dram'!W15</f>
        <v>0</v>
      </c>
      <c r="BP15" s="28">
        <f>AE15-'2018dram'!X15</f>
        <v>0</v>
      </c>
      <c r="BQ15" s="28">
        <f>AF15-'2018dram'!Y15</f>
        <v>0</v>
      </c>
      <c r="BR15" s="226">
        <f>AG15-'2018dram'!Z15</f>
        <v>0</v>
      </c>
      <c r="BS15" s="227">
        <f t="shared" si="7"/>
        <v>0</v>
      </c>
      <c r="BT15" s="228">
        <f>AJ15-'2018dram'!AC15</f>
        <v>0</v>
      </c>
      <c r="BU15" s="27">
        <f>AK15-'2018dram'!AD15-G15</f>
        <v>0</v>
      </c>
      <c r="BV15" s="27">
        <f>AL15-'2018dram'!AE15</f>
        <v>0</v>
      </c>
      <c r="BW15" s="27">
        <f>AM15-'2018dram'!AF15</f>
        <v>0</v>
      </c>
      <c r="BX15" s="27">
        <f>AN15-'2018dram'!AG15</f>
        <v>0</v>
      </c>
      <c r="BY15" s="27">
        <f>AO15-'2018dram'!AH15</f>
        <v>0</v>
      </c>
      <c r="BZ15" s="91">
        <f>AQ15-'2018dram'!AJ15</f>
        <v>0</v>
      </c>
      <c r="CA15" s="227">
        <f t="shared" si="3"/>
        <v>0</v>
      </c>
      <c r="CB15" s="229">
        <f t="shared" si="4"/>
        <v>0</v>
      </c>
      <c r="CC15" s="199"/>
      <c r="CD15" s="200"/>
      <c r="CE15" s="189">
        <f t="shared" si="5"/>
        <v>0</v>
      </c>
      <c r="CF15" s="139">
        <f t="shared" si="6"/>
        <v>0</v>
      </c>
    </row>
    <row r="16" spans="1:84" s="6" customFormat="1" ht="15" customHeight="1">
      <c r="A16" s="359" t="s">
        <v>101</v>
      </c>
      <c r="B16" s="194"/>
      <c r="C16" s="201"/>
      <c r="D16" s="201"/>
      <c r="E16" s="201"/>
      <c r="F16" s="201"/>
      <c r="G16" s="224"/>
      <c r="H16" s="552">
        <f t="shared" si="8"/>
        <v>0</v>
      </c>
      <c r="I16" s="15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92"/>
      <c r="AH16" s="27"/>
      <c r="AI16" s="225">
        <f t="shared" si="0"/>
        <v>0</v>
      </c>
      <c r="AJ16" s="225"/>
      <c r="AK16" s="25"/>
      <c r="AL16" s="25"/>
      <c r="AM16" s="25"/>
      <c r="AN16" s="25"/>
      <c r="AO16" s="26"/>
      <c r="AP16" s="26"/>
      <c r="AQ16" s="26"/>
      <c r="AR16" s="28">
        <f t="shared" si="1"/>
        <v>0</v>
      </c>
      <c r="AS16" s="28">
        <f t="shared" si="2"/>
        <v>0</v>
      </c>
      <c r="AT16" s="28">
        <f>I16-'2018dram'!B16</f>
        <v>0</v>
      </c>
      <c r="AU16" s="28">
        <f>J16-'2018dram'!C16</f>
        <v>0</v>
      </c>
      <c r="AV16" s="28">
        <f>K16-'2018dram'!D16-B16</f>
        <v>0</v>
      </c>
      <c r="AW16" s="28">
        <f>L16-'2018dram'!E16-C16</f>
        <v>0</v>
      </c>
      <c r="AX16" s="28">
        <f>M16-'2018dram'!F16-D16</f>
        <v>0</v>
      </c>
      <c r="AY16" s="28">
        <f>N16-'2018dram'!G16</f>
        <v>0</v>
      </c>
      <c r="AZ16" s="28">
        <f>O16-'2018dram'!H16</f>
        <v>0</v>
      </c>
      <c r="BA16" s="28">
        <f>P16-'2018dram'!I16</f>
        <v>0</v>
      </c>
      <c r="BB16" s="28">
        <f>Q16-'2018dram'!J16</f>
        <v>0</v>
      </c>
      <c r="BC16" s="28">
        <f>R16-'2018dram'!K16</f>
        <v>0</v>
      </c>
      <c r="BD16" s="28">
        <f>S16-'2018dram'!L16</f>
        <v>0</v>
      </c>
      <c r="BE16" s="28">
        <f>T16-'2018dram'!M16</f>
        <v>0</v>
      </c>
      <c r="BF16" s="28">
        <f>U16-'2018dram'!N16</f>
        <v>0</v>
      </c>
      <c r="BG16" s="28">
        <f>V16-'2018dram'!O16</f>
        <v>0</v>
      </c>
      <c r="BH16" s="28">
        <f>W16-'2018dram'!P16</f>
        <v>0</v>
      </c>
      <c r="BI16" s="28">
        <f>X16-'2018dram'!Q16</f>
        <v>0</v>
      </c>
      <c r="BJ16" s="28">
        <f>Y16-'2018dram'!R16</f>
        <v>0</v>
      </c>
      <c r="BK16" s="28">
        <f>Z16-'2018dram'!S16</f>
        <v>0</v>
      </c>
      <c r="BL16" s="28">
        <f>AA16-'2018dram'!T16</f>
        <v>0</v>
      </c>
      <c r="BM16" s="28">
        <f>AB16-'2018dram'!U16</f>
        <v>0</v>
      </c>
      <c r="BN16" s="28">
        <f>AC16-'2018dram'!V16-F16</f>
        <v>0</v>
      </c>
      <c r="BO16" s="28">
        <f>AD16-'2018dram'!W16</f>
        <v>0</v>
      </c>
      <c r="BP16" s="28">
        <f>AE16-'2018dram'!X16</f>
        <v>0</v>
      </c>
      <c r="BQ16" s="28">
        <f>AF16-'2018dram'!Y16</f>
        <v>0</v>
      </c>
      <c r="BR16" s="226">
        <f>AG16-'2018dram'!Z16</f>
        <v>0</v>
      </c>
      <c r="BS16" s="227">
        <f t="shared" si="7"/>
        <v>0</v>
      </c>
      <c r="BT16" s="228">
        <f>AJ16-'2018dram'!AC16</f>
        <v>0</v>
      </c>
      <c r="BU16" s="27">
        <f>AK16-'2018dram'!AD16-G16</f>
        <v>0</v>
      </c>
      <c r="BV16" s="27">
        <f>AL16-'2018dram'!AE16</f>
        <v>0</v>
      </c>
      <c r="BW16" s="27">
        <f>AM16-'2018dram'!AF16</f>
        <v>0</v>
      </c>
      <c r="BX16" s="27">
        <f>AN16-'2018dram'!AG16</f>
        <v>0</v>
      </c>
      <c r="BY16" s="27">
        <f>AO16-'2018dram'!AH16</f>
        <v>0</v>
      </c>
      <c r="BZ16" s="91">
        <f>AQ16-'2018dram'!AJ16</f>
        <v>0</v>
      </c>
      <c r="CA16" s="227">
        <f t="shared" si="3"/>
        <v>0</v>
      </c>
      <c r="CB16" s="229">
        <f t="shared" si="4"/>
        <v>0</v>
      </c>
      <c r="CC16" s="199"/>
      <c r="CD16" s="200"/>
      <c r="CE16" s="189">
        <f t="shared" si="5"/>
        <v>0</v>
      </c>
      <c r="CF16" s="139">
        <f t="shared" si="6"/>
        <v>0</v>
      </c>
    </row>
    <row r="17" spans="1:85" s="6" customFormat="1" ht="15" customHeight="1">
      <c r="A17" s="359" t="s">
        <v>82</v>
      </c>
      <c r="B17" s="194">
        <v>61.3</v>
      </c>
      <c r="C17" s="201">
        <v>0.4</v>
      </c>
      <c r="D17" s="201"/>
      <c r="E17" s="201"/>
      <c r="F17" s="201"/>
      <c r="G17" s="201"/>
      <c r="H17" s="552">
        <f t="shared" si="8"/>
        <v>61.699999999999996</v>
      </c>
      <c r="I17" s="159">
        <v>13890.8</v>
      </c>
      <c r="J17" s="26"/>
      <c r="K17" s="26">
        <v>1317.7</v>
      </c>
      <c r="L17" s="26">
        <v>668.4</v>
      </c>
      <c r="M17" s="26">
        <v>181.3</v>
      </c>
      <c r="N17" s="26"/>
      <c r="O17" s="26"/>
      <c r="P17" s="26"/>
      <c r="Q17" s="26"/>
      <c r="R17" s="26">
        <v>70</v>
      </c>
      <c r="S17" s="26"/>
      <c r="T17" s="26"/>
      <c r="U17" s="26">
        <v>261</v>
      </c>
      <c r="V17" s="26">
        <v>520</v>
      </c>
      <c r="W17" s="26"/>
      <c r="X17" s="26">
        <v>340</v>
      </c>
      <c r="Y17" s="26"/>
      <c r="Z17" s="26">
        <v>922.4</v>
      </c>
      <c r="AA17" s="26">
        <v>250</v>
      </c>
      <c r="AB17" s="26">
        <v>375</v>
      </c>
      <c r="AC17" s="26"/>
      <c r="AD17" s="26"/>
      <c r="AE17" s="26"/>
      <c r="AF17" s="26"/>
      <c r="AG17" s="92"/>
      <c r="AH17" s="25"/>
      <c r="AI17" s="225">
        <f t="shared" si="0"/>
        <v>18796.6</v>
      </c>
      <c r="AJ17" s="225"/>
      <c r="AK17" s="25"/>
      <c r="AL17" s="25">
        <v>10438.1</v>
      </c>
      <c r="AM17" s="25"/>
      <c r="AN17" s="25">
        <v>1933</v>
      </c>
      <c r="AO17" s="26"/>
      <c r="AP17" s="26"/>
      <c r="AQ17" s="26"/>
      <c r="AR17" s="28">
        <f t="shared" si="1"/>
        <v>12371.1</v>
      </c>
      <c r="AS17" s="26">
        <f t="shared" si="2"/>
        <v>31167.699999999997</v>
      </c>
      <c r="AT17" s="26">
        <f>I17-'2018dram'!B17</f>
        <v>0</v>
      </c>
      <c r="AU17" s="28">
        <f>J17-'2018dram'!C17</f>
        <v>0</v>
      </c>
      <c r="AV17" s="28">
        <f>K17-'2018dram'!D17-B17</f>
        <v>-100.00000000000004</v>
      </c>
      <c r="AW17" s="28">
        <f>L17-'2018dram'!E17-C17</f>
        <v>-0.20000000000006823</v>
      </c>
      <c r="AX17" s="28">
        <f>M17-'2018dram'!F17-D17</f>
        <v>-0.5</v>
      </c>
      <c r="AY17" s="26">
        <f>N17-'2018dram'!G17</f>
        <v>0</v>
      </c>
      <c r="AZ17" s="26">
        <f>O17-'2018dram'!H17</f>
        <v>0</v>
      </c>
      <c r="BA17" s="26">
        <f>P17-'2018dram'!I17</f>
        <v>0</v>
      </c>
      <c r="BB17" s="26">
        <f>Q17-'2018dram'!J17</f>
        <v>0</v>
      </c>
      <c r="BC17" s="26">
        <f>R17-'2018dram'!K17</f>
        <v>0</v>
      </c>
      <c r="BD17" s="26">
        <f>S17-'2018dram'!L17</f>
        <v>0</v>
      </c>
      <c r="BE17" s="26">
        <f>T17-'2018dram'!M17</f>
        <v>0</v>
      </c>
      <c r="BF17" s="26">
        <f>U17-'2018dram'!N17</f>
        <v>0</v>
      </c>
      <c r="BG17" s="26">
        <f>V17-'2018dram'!O17</f>
        <v>0</v>
      </c>
      <c r="BH17" s="26">
        <f>W17-'2018dram'!P17</f>
        <v>0</v>
      </c>
      <c r="BI17" s="26">
        <f>X17-'2018dram'!Q17</f>
        <v>0</v>
      </c>
      <c r="BJ17" s="26">
        <f>Y17-'2018dram'!R17</f>
        <v>0</v>
      </c>
      <c r="BK17" s="26">
        <f>Z17-'2018dram'!S17</f>
        <v>0</v>
      </c>
      <c r="BL17" s="26">
        <f>AA17-'2018dram'!T17</f>
        <v>0</v>
      </c>
      <c r="BM17" s="26">
        <f>AB17-'2018dram'!U17</f>
        <v>0</v>
      </c>
      <c r="BN17" s="26">
        <f>AC17-'2018dram'!V17-F17</f>
        <v>0</v>
      </c>
      <c r="BO17" s="26">
        <f>AD17-'2018dram'!W17</f>
        <v>0</v>
      </c>
      <c r="BP17" s="26">
        <f>AE17-'2018dram'!X17</f>
        <v>0</v>
      </c>
      <c r="BQ17" s="26">
        <f>AF17-'2018dram'!Y17</f>
        <v>0</v>
      </c>
      <c r="BR17" s="226">
        <f>AG17-'2018dram'!Z17</f>
        <v>0</v>
      </c>
      <c r="BS17" s="227">
        <f t="shared" si="7"/>
        <v>-100.70000000000012</v>
      </c>
      <c r="BT17" s="228">
        <f>AJ17-'2018dram'!AC17</f>
        <v>0</v>
      </c>
      <c r="BU17" s="27">
        <f>AK17-'2018dram'!AD17-G17</f>
        <v>0</v>
      </c>
      <c r="BV17" s="27">
        <f>AL17-'2018dram'!AE17</f>
        <v>0</v>
      </c>
      <c r="BW17" s="25">
        <f>AM17-'2018dram'!AF17</f>
        <v>0</v>
      </c>
      <c r="BX17" s="25">
        <f>AN17-'2018dram'!AG17</f>
        <v>0</v>
      </c>
      <c r="BY17" s="25">
        <f>AO17-'2018dram'!AH17</f>
        <v>0</v>
      </c>
      <c r="BZ17" s="92">
        <f>AQ17-'2018dram'!AJ17</f>
        <v>0</v>
      </c>
      <c r="CA17" s="230">
        <f t="shared" si="3"/>
        <v>0</v>
      </c>
      <c r="CB17" s="231">
        <f t="shared" si="4"/>
        <v>-100.70000000000012</v>
      </c>
      <c r="CC17" s="199"/>
      <c r="CD17" s="200"/>
      <c r="CE17" s="189">
        <f t="shared" si="5"/>
        <v>0</v>
      </c>
      <c r="CF17" s="139">
        <f t="shared" si="6"/>
        <v>31167.699999999997</v>
      </c>
      <c r="CG17" s="6" t="s">
        <v>16</v>
      </c>
    </row>
    <row r="18" spans="1:84" s="6" customFormat="1" ht="15" customHeight="1">
      <c r="A18" s="359" t="s">
        <v>153</v>
      </c>
      <c r="B18" s="194"/>
      <c r="C18" s="201"/>
      <c r="D18" s="201"/>
      <c r="E18" s="201"/>
      <c r="F18" s="201"/>
      <c r="G18" s="201"/>
      <c r="H18" s="552">
        <f t="shared" si="8"/>
        <v>0</v>
      </c>
      <c r="I18" s="15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92"/>
      <c r="AH18" s="25"/>
      <c r="AI18" s="225">
        <f t="shared" si="0"/>
        <v>0</v>
      </c>
      <c r="AJ18" s="225"/>
      <c r="AK18" s="25"/>
      <c r="AL18" s="25"/>
      <c r="AM18" s="25"/>
      <c r="AN18" s="25"/>
      <c r="AO18" s="26"/>
      <c r="AP18" s="26"/>
      <c r="AQ18" s="26"/>
      <c r="AR18" s="28">
        <f t="shared" si="1"/>
        <v>0</v>
      </c>
      <c r="AS18" s="26">
        <f>AI18+AR18</f>
        <v>0</v>
      </c>
      <c r="AT18" s="26">
        <f>I18-'2018dram'!B18</f>
        <v>0</v>
      </c>
      <c r="AU18" s="26">
        <f>J18-'2018dram'!C18</f>
        <v>0</v>
      </c>
      <c r="AV18" s="28">
        <f>K18-'2018dram'!D18-B18</f>
        <v>0</v>
      </c>
      <c r="AW18" s="26">
        <f>L18-'2018dram'!E18-C18</f>
        <v>0</v>
      </c>
      <c r="AX18" s="26">
        <f>M18-'2018dram'!F18-D18</f>
        <v>0</v>
      </c>
      <c r="AY18" s="26">
        <f>N18-'2018dram'!G18</f>
        <v>0</v>
      </c>
      <c r="AZ18" s="26">
        <f>O18-'2018dram'!H18</f>
        <v>0</v>
      </c>
      <c r="BA18" s="26">
        <f>P18-'2018dram'!I18</f>
        <v>0</v>
      </c>
      <c r="BB18" s="26">
        <f>Q18-'2018dram'!J18</f>
        <v>0</v>
      </c>
      <c r="BC18" s="26">
        <f>R18-'2018dram'!K18</f>
        <v>0</v>
      </c>
      <c r="BD18" s="26">
        <f>S18-'2018dram'!L18</f>
        <v>0</v>
      </c>
      <c r="BE18" s="26">
        <f>T18-'2018dram'!M18</f>
        <v>0</v>
      </c>
      <c r="BF18" s="26">
        <f>U18-'2018dram'!N18</f>
        <v>0</v>
      </c>
      <c r="BG18" s="26">
        <f>V18-'2018dram'!O18</f>
        <v>0</v>
      </c>
      <c r="BH18" s="26">
        <f>W18-'2018dram'!P18</f>
        <v>0</v>
      </c>
      <c r="BI18" s="26">
        <f>X18-'2018dram'!Q18</f>
        <v>0</v>
      </c>
      <c r="BJ18" s="26">
        <f>Y18-'2018dram'!R18</f>
        <v>0</v>
      </c>
      <c r="BK18" s="26">
        <f>Z18-'2018dram'!S18</f>
        <v>0</v>
      </c>
      <c r="BL18" s="26">
        <f>AA18-'2018dram'!T18</f>
        <v>0</v>
      </c>
      <c r="BM18" s="26">
        <f>AB18-'2018dram'!U18</f>
        <v>0</v>
      </c>
      <c r="BN18" s="26">
        <f>AC18-'2018dram'!V18-F18</f>
        <v>0</v>
      </c>
      <c r="BO18" s="26">
        <f>AD18-'2018dram'!W18</f>
        <v>0</v>
      </c>
      <c r="BP18" s="26">
        <f>AE18-'2018dram'!X18</f>
        <v>0</v>
      </c>
      <c r="BQ18" s="26">
        <f>AF18-'2018dram'!Y18</f>
        <v>0</v>
      </c>
      <c r="BR18" s="226">
        <f>AG18-'2018dram'!Z18</f>
        <v>0</v>
      </c>
      <c r="BS18" s="230">
        <f>AT18+AU18+AV18+AW18+AX18+AY18+AZ18+BA18+BB18+BC18+BD18+BE18+BF18+BG18+BH18+BI18+BJ18+BK18+BL18+BM18+BN18+BO18+BP18+BQ18+BR18</f>
        <v>0</v>
      </c>
      <c r="BT18" s="228">
        <f>AJ18-'2018dram'!AC18</f>
        <v>0</v>
      </c>
      <c r="BU18" s="27">
        <f>AK18-'2018dram'!AD18-G18</f>
        <v>0</v>
      </c>
      <c r="BV18" s="27">
        <f>AL18-'2018dram'!AE18</f>
        <v>0</v>
      </c>
      <c r="BW18" s="25">
        <f>AM18-'2018dram'!AF18</f>
        <v>0</v>
      </c>
      <c r="BX18" s="25">
        <f>AN18-'2018dram'!AG18</f>
        <v>0</v>
      </c>
      <c r="BY18" s="25">
        <f>AO18-'2018dram'!AH18</f>
        <v>0</v>
      </c>
      <c r="BZ18" s="92">
        <f>AQ18-'2018dram'!AJ18</f>
        <v>0</v>
      </c>
      <c r="CA18" s="230">
        <f>BU18+BV18+BW18+BX18+BY18+BZ18</f>
        <v>0</v>
      </c>
      <c r="CB18" s="231">
        <f>BS18+CA18</f>
        <v>0</v>
      </c>
      <c r="CC18" s="202"/>
      <c r="CD18" s="200">
        <v>-6580.4</v>
      </c>
      <c r="CE18" s="189">
        <f t="shared" si="5"/>
        <v>-6580.4</v>
      </c>
      <c r="CF18" s="139">
        <f t="shared" si="6"/>
        <v>-6580.4</v>
      </c>
    </row>
    <row r="19" spans="1:84" s="6" customFormat="1" ht="15" customHeight="1" thickBot="1">
      <c r="A19" s="372" t="s">
        <v>152</v>
      </c>
      <c r="B19" s="195"/>
      <c r="C19" s="203"/>
      <c r="D19" s="203"/>
      <c r="E19" s="203"/>
      <c r="F19" s="203"/>
      <c r="G19" s="203"/>
      <c r="H19" s="552">
        <f t="shared" si="8"/>
        <v>0</v>
      </c>
      <c r="I19" s="160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90"/>
      <c r="AI19" s="225">
        <f t="shared" si="0"/>
        <v>0</v>
      </c>
      <c r="AJ19" s="460"/>
      <c r="AK19" s="90"/>
      <c r="AL19" s="90"/>
      <c r="AM19" s="90"/>
      <c r="AN19" s="90"/>
      <c r="AO19" s="93"/>
      <c r="AP19" s="93"/>
      <c r="AQ19" s="93"/>
      <c r="AR19" s="28">
        <f t="shared" si="1"/>
        <v>0</v>
      </c>
      <c r="AS19" s="26">
        <f>AI19+AR19</f>
        <v>0</v>
      </c>
      <c r="AT19" s="26">
        <f>I19-'2018dram'!B19</f>
        <v>0</v>
      </c>
      <c r="AU19" s="26">
        <f>J19-'2018dram'!C19</f>
        <v>0</v>
      </c>
      <c r="AV19" s="28">
        <f>K19-'2018dram'!D19-B19</f>
        <v>0</v>
      </c>
      <c r="AW19" s="26">
        <f>L19-'2018dram'!E19-C19</f>
        <v>0</v>
      </c>
      <c r="AX19" s="26">
        <f>M19-'2018dram'!F19-D19</f>
        <v>0</v>
      </c>
      <c r="AY19" s="26">
        <f>N19-'2018dram'!G19</f>
        <v>0</v>
      </c>
      <c r="AZ19" s="26">
        <f>O19-'2018dram'!H19</f>
        <v>0</v>
      </c>
      <c r="BA19" s="26">
        <f>P19-'2018dram'!I19</f>
        <v>0</v>
      </c>
      <c r="BB19" s="26">
        <f>Q19-'2018dram'!J19</f>
        <v>0</v>
      </c>
      <c r="BC19" s="26">
        <f>R19-'2018dram'!K19</f>
        <v>0</v>
      </c>
      <c r="BD19" s="26">
        <f>S19-'2018dram'!L19</f>
        <v>0</v>
      </c>
      <c r="BE19" s="26">
        <f>T19-'2018dram'!M19</f>
        <v>0</v>
      </c>
      <c r="BF19" s="26">
        <f>U19-'2018dram'!N19</f>
        <v>0</v>
      </c>
      <c r="BG19" s="26">
        <f>V19-'2018dram'!O19</f>
        <v>0</v>
      </c>
      <c r="BH19" s="26">
        <f>W19-'2018dram'!P19</f>
        <v>0</v>
      </c>
      <c r="BI19" s="26">
        <f>X19-'2018dram'!Q19</f>
        <v>0</v>
      </c>
      <c r="BJ19" s="26">
        <f>Y19-'2018dram'!R19</f>
        <v>0</v>
      </c>
      <c r="BK19" s="26">
        <f>Z19-'2018dram'!S19</f>
        <v>0</v>
      </c>
      <c r="BL19" s="26">
        <f>AA19-'2018dram'!T19</f>
        <v>0</v>
      </c>
      <c r="BM19" s="26">
        <f>AB19-'2018dram'!U19</f>
        <v>0</v>
      </c>
      <c r="BN19" s="26">
        <f>AC19-'2018dram'!V19-F19</f>
        <v>0</v>
      </c>
      <c r="BO19" s="26">
        <f>AD19-'2018dram'!W19</f>
        <v>0</v>
      </c>
      <c r="BP19" s="26">
        <f>AE19-'2018dram'!X19</f>
        <v>0</v>
      </c>
      <c r="BQ19" s="26">
        <f>AF19-'2018dram'!Y19</f>
        <v>0</v>
      </c>
      <c r="BR19" s="226">
        <f>AG19-'2018dram'!Z19</f>
        <v>0</v>
      </c>
      <c r="BS19" s="230">
        <f>AT19+AU19+AV19+AW19+AX19+AY19+AZ19+BA19+BB19+BC19+BD19+BE19+BF19+BG19+BH19+BI19+BJ19+BK19+BL19+BM19+BN19+BO19+BP19+BQ19+BR19</f>
        <v>0</v>
      </c>
      <c r="BT19" s="228">
        <f>AJ19-'2018dram'!AC19</f>
        <v>0</v>
      </c>
      <c r="BU19" s="27">
        <f>AK19-'2018dram'!AD19-G19</f>
        <v>0</v>
      </c>
      <c r="BV19" s="27">
        <f>AL19-'2018dram'!AE19</f>
        <v>0</v>
      </c>
      <c r="BW19" s="25">
        <f>AM19-'2018dram'!AF19</f>
        <v>0</v>
      </c>
      <c r="BX19" s="25">
        <f>AN19-'2018dram'!AG19</f>
        <v>0</v>
      </c>
      <c r="BY19" s="25">
        <f>AO19-'2018dram'!AH19</f>
        <v>0</v>
      </c>
      <c r="BZ19" s="92">
        <f>AQ19-'2018dram'!AJ19</f>
        <v>0</v>
      </c>
      <c r="CA19" s="230">
        <f>BU19+BV19+BW19+BX19+BY19+BZ19</f>
        <v>0</v>
      </c>
      <c r="CB19" s="231">
        <f>BS19+CA19</f>
        <v>0</v>
      </c>
      <c r="CC19" s="202"/>
      <c r="CD19" s="204"/>
      <c r="CE19" s="205">
        <f t="shared" si="5"/>
        <v>0</v>
      </c>
      <c r="CF19" s="139">
        <f t="shared" si="6"/>
        <v>0</v>
      </c>
    </row>
    <row r="20" spans="1:84" s="6" customFormat="1" ht="26.25" customHeight="1" thickBot="1">
      <c r="A20" s="185" t="s">
        <v>180</v>
      </c>
      <c r="B20" s="461">
        <f>B5+B6+B7+B8+B9+B10+B11+B12+B13+B14+B15+B16+B17+B18+B19</f>
        <v>441.8</v>
      </c>
      <c r="C20" s="462">
        <f aca="true" t="shared" si="9" ref="C20:BQ20">C5+C6+C7+C8+C9+C10+C11+C12+C13+C14+C15+C16+C17+C18+C19</f>
        <v>10.5</v>
      </c>
      <c r="D20" s="462">
        <f t="shared" si="9"/>
        <v>112.3</v>
      </c>
      <c r="E20" s="462">
        <f t="shared" si="9"/>
        <v>-1071.6</v>
      </c>
      <c r="F20" s="462">
        <f t="shared" si="9"/>
        <v>0</v>
      </c>
      <c r="G20" s="462">
        <f t="shared" si="9"/>
        <v>10478.3</v>
      </c>
      <c r="H20" s="553">
        <f t="shared" si="9"/>
        <v>9971.3</v>
      </c>
      <c r="I20" s="463">
        <f t="shared" si="9"/>
        <v>155592.19999999998</v>
      </c>
      <c r="J20" s="464">
        <f t="shared" si="9"/>
        <v>6133.2</v>
      </c>
      <c r="K20" s="462">
        <f t="shared" si="9"/>
        <v>7206.599999999999</v>
      </c>
      <c r="L20" s="462">
        <f t="shared" si="9"/>
        <v>1448.8000000000002</v>
      </c>
      <c r="M20" s="462">
        <f t="shared" si="9"/>
        <v>3754.4000000000005</v>
      </c>
      <c r="N20" s="462">
        <f t="shared" si="9"/>
        <v>282</v>
      </c>
      <c r="O20" s="462">
        <f t="shared" si="9"/>
        <v>193.6</v>
      </c>
      <c r="P20" s="462">
        <f t="shared" si="9"/>
        <v>0</v>
      </c>
      <c r="Q20" s="462">
        <f t="shared" si="9"/>
        <v>609.6</v>
      </c>
      <c r="R20" s="462">
        <f t="shared" si="9"/>
        <v>173.6</v>
      </c>
      <c r="S20" s="464">
        <f t="shared" si="9"/>
        <v>1190</v>
      </c>
      <c r="T20" s="462">
        <f t="shared" si="9"/>
        <v>6954.400000000001</v>
      </c>
      <c r="U20" s="462">
        <f t="shared" si="9"/>
        <v>4128.4</v>
      </c>
      <c r="V20" s="462">
        <f t="shared" si="9"/>
        <v>17420.4</v>
      </c>
      <c r="W20" s="464">
        <f t="shared" si="9"/>
        <v>221</v>
      </c>
      <c r="X20" s="462">
        <f t="shared" si="9"/>
        <v>3027.5</v>
      </c>
      <c r="Y20" s="462">
        <f t="shared" si="9"/>
        <v>200</v>
      </c>
      <c r="Z20" s="462">
        <f t="shared" si="9"/>
        <v>41073.8</v>
      </c>
      <c r="AA20" s="462">
        <f t="shared" si="9"/>
        <v>2811.9</v>
      </c>
      <c r="AB20" s="462">
        <f t="shared" si="9"/>
        <v>813</v>
      </c>
      <c r="AC20" s="462">
        <f t="shared" si="9"/>
        <v>0</v>
      </c>
      <c r="AD20" s="462">
        <f t="shared" si="9"/>
        <v>0</v>
      </c>
      <c r="AE20" s="462">
        <f t="shared" si="9"/>
        <v>7631.7</v>
      </c>
      <c r="AF20" s="464">
        <f t="shared" si="9"/>
        <v>4970</v>
      </c>
      <c r="AG20" s="462">
        <f t="shared" si="9"/>
        <v>3978.1</v>
      </c>
      <c r="AH20" s="462">
        <f t="shared" si="9"/>
        <v>0</v>
      </c>
      <c r="AI20" s="462">
        <f>AI5+AI6+AI7+AI8+AI9+AI10+AI11+AI12+AI13+AI14+AI15+AI16+AI17+AI18+AI19</f>
        <v>269814.2</v>
      </c>
      <c r="AJ20" s="462">
        <f>AJ5+AJ6+AJ7+AJ8+AJ9+AJ10+AJ11+AJ12+AJ13+AJ14+AJ15+AJ16+AJ17+AJ18+AJ19</f>
        <v>0</v>
      </c>
      <c r="AK20" s="462">
        <f>AK5+AK6+AK7+AK8+AK9+AK10+AK11+AK12+AK13+AK14+AK15+AK16+AK17+AK18+AK19</f>
        <v>14689.1</v>
      </c>
      <c r="AL20" s="462">
        <f t="shared" si="9"/>
        <v>19731.4</v>
      </c>
      <c r="AM20" s="462">
        <f t="shared" si="9"/>
        <v>0</v>
      </c>
      <c r="AN20" s="462">
        <f t="shared" si="9"/>
        <v>4073</v>
      </c>
      <c r="AO20" s="462">
        <f t="shared" si="9"/>
        <v>5221.6</v>
      </c>
      <c r="AP20" s="462">
        <f t="shared" si="9"/>
        <v>560</v>
      </c>
      <c r="AQ20" s="462">
        <f>AQ5+AQ6+AQ7+AQ8+AQ9+AQ10+AQ11+AQ12+AQ13+AQ14+AQ15+AQ16+AQ17+AQ18+AQ19</f>
        <v>2000</v>
      </c>
      <c r="AR20" s="462">
        <f>AR5+AR6+AR7+AR8+AR9+AR10+AR11+AR12+AR13+AR14+AR15+AR16+AR17+AR18+AR19</f>
        <v>46275.1</v>
      </c>
      <c r="AS20" s="462">
        <f>AS5+AS6+AS7+AS8+AS9+AS10+AS11+AS12+AS13+AS14+AS15+AS16+AS17+AS18+AS19</f>
        <v>316089.3</v>
      </c>
      <c r="AT20" s="462">
        <f>AT5+AT6+AT7+AT8+AT9+AT10+AT11+AT12+AT13+AT14+AT15+AT16+AT17+AT18+AT19</f>
        <v>-1402.9000000000033</v>
      </c>
      <c r="AU20" s="462">
        <f t="shared" si="9"/>
        <v>0</v>
      </c>
      <c r="AV20" s="462">
        <f t="shared" si="9"/>
        <v>-711.8999999999996</v>
      </c>
      <c r="AW20" s="462">
        <f t="shared" si="9"/>
        <v>-5.300000000000068</v>
      </c>
      <c r="AX20" s="462">
        <f t="shared" si="9"/>
        <v>-26.199999999999804</v>
      </c>
      <c r="AY20" s="462">
        <f t="shared" si="9"/>
        <v>0</v>
      </c>
      <c r="AZ20" s="462">
        <f t="shared" si="9"/>
        <v>0</v>
      </c>
      <c r="BA20" s="462">
        <f t="shared" si="9"/>
        <v>0</v>
      </c>
      <c r="BB20" s="462">
        <f t="shared" si="9"/>
        <v>0</v>
      </c>
      <c r="BC20" s="462">
        <f t="shared" si="9"/>
        <v>0</v>
      </c>
      <c r="BD20" s="462">
        <f t="shared" si="9"/>
        <v>0</v>
      </c>
      <c r="BE20" s="462">
        <f t="shared" si="9"/>
        <v>0</v>
      </c>
      <c r="BF20" s="462">
        <f t="shared" si="9"/>
        <v>0</v>
      </c>
      <c r="BG20" s="462">
        <f t="shared" si="9"/>
        <v>711.8999999999992</v>
      </c>
      <c r="BH20" s="462">
        <f t="shared" si="9"/>
        <v>0</v>
      </c>
      <c r="BI20" s="462">
        <f t="shared" si="9"/>
        <v>0</v>
      </c>
      <c r="BJ20" s="462">
        <f t="shared" si="9"/>
        <v>0</v>
      </c>
      <c r="BK20" s="462">
        <f t="shared" si="9"/>
        <v>0</v>
      </c>
      <c r="BL20" s="462">
        <f t="shared" si="9"/>
        <v>0</v>
      </c>
      <c r="BM20" s="462">
        <f t="shared" si="9"/>
        <v>0</v>
      </c>
      <c r="BN20" s="462">
        <f t="shared" si="9"/>
        <v>0</v>
      </c>
      <c r="BO20" s="462">
        <f t="shared" si="9"/>
        <v>0</v>
      </c>
      <c r="BP20" s="462">
        <f t="shared" si="9"/>
        <v>0</v>
      </c>
      <c r="BQ20" s="462">
        <f t="shared" si="9"/>
        <v>0</v>
      </c>
      <c r="BR20" s="465">
        <f aca="true" t="shared" si="10" ref="BR20:CE20">BR5+BR6+BR7+BR8+BR9+BR10+BR11+BR12+BR13+BR14+BR15+BR16+BR17+BR18+BR19</f>
        <v>-19.5</v>
      </c>
      <c r="BS20" s="466">
        <f>BS5+BS6+BS7+BS8+BS9+BS10+BS11+BS12+BS13+BS14+BS15+BS16+BS17+BS18+BS19</f>
        <v>-1453.9000000000035</v>
      </c>
      <c r="BT20" s="463">
        <f>BT5+BT6+BT7+BT8+BT9+BT10+BT11+BT12+BT13+BT14+BT15+BT16+BT17+BT18+BT19</f>
        <v>0</v>
      </c>
      <c r="BU20" s="462">
        <f>BU5+BU6+BU7+BU8+BU9+BU10+BU11+BU12+BU13+BU14+BU15+BU16+BU17+BU18+BU19</f>
        <v>173.60000000000218</v>
      </c>
      <c r="BV20" s="462">
        <f>BV5+BV6+BV7+BV8+BV9+BV10+BV11+BV12+BV13+BV14+BV15+BV16+BV17+BV18+BV19</f>
        <v>258.89999999999964</v>
      </c>
      <c r="BW20" s="462">
        <f>BW5+BW6+BW7+BW8+BW9+BW10+BW11+BW12+BW13+BW14+BW15+BW16+BW17+BW18+BW19</f>
        <v>0</v>
      </c>
      <c r="BX20" s="462">
        <f t="shared" si="10"/>
        <v>0</v>
      </c>
      <c r="BY20" s="462">
        <f t="shared" si="10"/>
        <v>0</v>
      </c>
      <c r="BZ20" s="467">
        <f t="shared" si="10"/>
        <v>0</v>
      </c>
      <c r="CA20" s="466">
        <f t="shared" si="10"/>
        <v>432.5000000000018</v>
      </c>
      <c r="CB20" s="466">
        <f t="shared" si="10"/>
        <v>-1021.4000000000018</v>
      </c>
      <c r="CC20" s="463">
        <f t="shared" si="10"/>
        <v>0</v>
      </c>
      <c r="CD20" s="462">
        <f t="shared" si="10"/>
        <v>-6580.4</v>
      </c>
      <c r="CE20" s="465">
        <f t="shared" si="10"/>
        <v>-6580.4</v>
      </c>
      <c r="CF20" s="466">
        <f>CF5+CF6+CF7+CF8+CF9+CF10+CF11+CF12+CF13+CF14+CF15+CF16+CF17+CF18+CF19</f>
        <v>309508.89999999997</v>
      </c>
    </row>
    <row r="21" spans="1:85" s="7" customFormat="1" ht="15.75" customHeight="1">
      <c r="A21" s="284" t="s">
        <v>184</v>
      </c>
      <c r="B21" s="559"/>
      <c r="C21" s="560"/>
      <c r="D21" s="560"/>
      <c r="E21" s="560"/>
      <c r="F21" s="560">
        <f>'hoaki past18'!F4</f>
        <v>69.7</v>
      </c>
      <c r="G21" s="190"/>
      <c r="H21" s="552">
        <f aca="true" t="shared" si="11" ref="H21:H43">B21+C21+D21+F21+G21</f>
        <v>69.7</v>
      </c>
      <c r="I21" s="206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>
        <f>'hoaki past18'!I4</f>
        <v>23140.6</v>
      </c>
      <c r="AD21" s="190"/>
      <c r="AE21" s="190"/>
      <c r="AF21" s="190"/>
      <c r="AG21" s="191"/>
      <c r="AH21" s="190"/>
      <c r="AI21" s="225">
        <f aca="true" t="shared" si="12" ref="AI21:AI32">I21+J21+K21+L21+M21+N21+O21+P21+Q21+R21+S21+T21+U21+V21+W21+X21+Y21+Z21+AA21+AB21+AC21+AD21+AE21+AF21+AG21</f>
        <v>23140.6</v>
      </c>
      <c r="AJ21" s="225"/>
      <c r="AK21" s="190"/>
      <c r="AL21" s="190"/>
      <c r="AM21" s="190"/>
      <c r="AN21" s="190"/>
      <c r="AO21" s="190"/>
      <c r="AP21" s="190"/>
      <c r="AQ21" s="190"/>
      <c r="AR21" s="28">
        <f t="shared" si="1"/>
        <v>0</v>
      </c>
      <c r="AS21" s="28">
        <f t="shared" si="2"/>
        <v>23140.6</v>
      </c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>
        <f>AC21-'2018dram'!V21-F21</f>
        <v>-104.80000000000219</v>
      </c>
      <c r="BO21" s="28"/>
      <c r="BP21" s="28"/>
      <c r="BQ21" s="28"/>
      <c r="BR21" s="226"/>
      <c r="BS21" s="227">
        <f t="shared" si="7"/>
        <v>-104.80000000000219</v>
      </c>
      <c r="BT21" s="468"/>
      <c r="BU21" s="207"/>
      <c r="BV21" s="207"/>
      <c r="BW21" s="207"/>
      <c r="BX21" s="207"/>
      <c r="BY21" s="207"/>
      <c r="BZ21" s="208"/>
      <c r="CA21" s="183"/>
      <c r="CB21" s="229">
        <f t="shared" si="4"/>
        <v>-104.80000000000219</v>
      </c>
      <c r="CC21" s="199"/>
      <c r="CD21" s="200"/>
      <c r="CE21" s="189">
        <f t="shared" si="5"/>
        <v>0</v>
      </c>
      <c r="CF21" s="139">
        <f t="shared" si="6"/>
        <v>23140.6</v>
      </c>
      <c r="CG21" s="209"/>
    </row>
    <row r="22" spans="1:85" s="7" customFormat="1" ht="15.75" customHeight="1">
      <c r="A22" s="284" t="s">
        <v>185</v>
      </c>
      <c r="B22" s="459"/>
      <c r="C22" s="190"/>
      <c r="D22" s="190"/>
      <c r="E22" s="190"/>
      <c r="F22" s="560">
        <f>'hoaki past18'!F5</f>
        <v>0.8999999999999999</v>
      </c>
      <c r="G22" s="190"/>
      <c r="H22" s="552">
        <f t="shared" si="11"/>
        <v>0.8999999999999999</v>
      </c>
      <c r="I22" s="210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90">
        <f>'hoaki past18'!I5</f>
        <v>18046.1</v>
      </c>
      <c r="AD22" s="186"/>
      <c r="AE22" s="186"/>
      <c r="AF22" s="186"/>
      <c r="AG22" s="187"/>
      <c r="AH22" s="190"/>
      <c r="AI22" s="225">
        <f t="shared" si="12"/>
        <v>18046.1</v>
      </c>
      <c r="AJ22" s="225"/>
      <c r="AK22" s="186"/>
      <c r="AL22" s="186"/>
      <c r="AM22" s="186"/>
      <c r="AN22" s="186"/>
      <c r="AO22" s="186"/>
      <c r="AP22" s="186"/>
      <c r="AQ22" s="186"/>
      <c r="AR22" s="28">
        <f t="shared" si="1"/>
        <v>0</v>
      </c>
      <c r="AS22" s="28">
        <f t="shared" si="2"/>
        <v>18046.1</v>
      </c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>
        <f>AC22-'2018dram'!V22-F22</f>
        <v>-4.100000000000728</v>
      </c>
      <c r="BO22" s="28"/>
      <c r="BP22" s="28"/>
      <c r="BQ22" s="28"/>
      <c r="BR22" s="226"/>
      <c r="BS22" s="227">
        <f t="shared" si="7"/>
        <v>-4.100000000000728</v>
      </c>
      <c r="BT22" s="468"/>
      <c r="BU22" s="207"/>
      <c r="BV22" s="207"/>
      <c r="BW22" s="207"/>
      <c r="BX22" s="207"/>
      <c r="BY22" s="207"/>
      <c r="BZ22" s="208"/>
      <c r="CA22" s="183"/>
      <c r="CB22" s="229">
        <f t="shared" si="4"/>
        <v>-4.100000000000728</v>
      </c>
      <c r="CC22" s="199"/>
      <c r="CD22" s="200"/>
      <c r="CE22" s="189">
        <f t="shared" si="5"/>
        <v>0</v>
      </c>
      <c r="CF22" s="139">
        <f t="shared" si="6"/>
        <v>18046.1</v>
      </c>
      <c r="CG22" s="209"/>
    </row>
    <row r="23" spans="1:85" s="7" customFormat="1" ht="15.75" customHeight="1">
      <c r="A23" s="284" t="s">
        <v>186</v>
      </c>
      <c r="B23" s="194"/>
      <c r="C23" s="186"/>
      <c r="D23" s="186"/>
      <c r="E23" s="190"/>
      <c r="F23" s="560">
        <f>'hoaki past18'!F6</f>
        <v>23.900000000000002</v>
      </c>
      <c r="G23" s="190"/>
      <c r="H23" s="552">
        <f t="shared" si="11"/>
        <v>23.900000000000002</v>
      </c>
      <c r="I23" s="210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90">
        <f>'hoaki past18'!I6</f>
        <v>17804.2</v>
      </c>
      <c r="AD23" s="186"/>
      <c r="AE23" s="186"/>
      <c r="AF23" s="186"/>
      <c r="AG23" s="187"/>
      <c r="AH23" s="190"/>
      <c r="AI23" s="225">
        <f t="shared" si="12"/>
        <v>17804.2</v>
      </c>
      <c r="AJ23" s="225"/>
      <c r="AK23" s="186"/>
      <c r="AL23" s="186"/>
      <c r="AM23" s="186"/>
      <c r="AN23" s="186"/>
      <c r="AO23" s="186"/>
      <c r="AP23" s="186"/>
      <c r="AQ23" s="186"/>
      <c r="AR23" s="28">
        <f t="shared" si="1"/>
        <v>0</v>
      </c>
      <c r="AS23" s="28">
        <f t="shared" si="2"/>
        <v>17804.2</v>
      </c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>
        <f>AC23-'2018dram'!V23-F23</f>
        <v>-3.999999999998547</v>
      </c>
      <c r="BO23" s="28"/>
      <c r="BP23" s="28"/>
      <c r="BQ23" s="28"/>
      <c r="BR23" s="226"/>
      <c r="BS23" s="227">
        <f t="shared" si="7"/>
        <v>-3.999999999998547</v>
      </c>
      <c r="BT23" s="468"/>
      <c r="BU23" s="207"/>
      <c r="BV23" s="207"/>
      <c r="BW23" s="207"/>
      <c r="BX23" s="207"/>
      <c r="BY23" s="207"/>
      <c r="BZ23" s="208"/>
      <c r="CA23" s="183"/>
      <c r="CB23" s="229">
        <f t="shared" si="4"/>
        <v>-3.999999999998547</v>
      </c>
      <c r="CC23" s="199"/>
      <c r="CD23" s="200"/>
      <c r="CE23" s="189">
        <f t="shared" si="5"/>
        <v>0</v>
      </c>
      <c r="CF23" s="139">
        <f t="shared" si="6"/>
        <v>17804.2</v>
      </c>
      <c r="CG23" s="209"/>
    </row>
    <row r="24" spans="1:85" s="7" customFormat="1" ht="15.75" customHeight="1">
      <c r="A24" s="284" t="s">
        <v>187</v>
      </c>
      <c r="B24" s="194"/>
      <c r="C24" s="186"/>
      <c r="D24" s="186"/>
      <c r="E24" s="190"/>
      <c r="F24" s="560">
        <f>'hoaki past18'!F7</f>
        <v>240.79999999999998</v>
      </c>
      <c r="G24" s="190"/>
      <c r="H24" s="552">
        <f t="shared" si="11"/>
        <v>240.79999999999998</v>
      </c>
      <c r="I24" s="210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90">
        <f>'hoaki past18'!I7</f>
        <v>30364.1</v>
      </c>
      <c r="AD24" s="186"/>
      <c r="AE24" s="186"/>
      <c r="AF24" s="186"/>
      <c r="AG24" s="187"/>
      <c r="AH24" s="190"/>
      <c r="AI24" s="225">
        <f t="shared" si="12"/>
        <v>30364.1</v>
      </c>
      <c r="AJ24" s="225"/>
      <c r="AK24" s="186"/>
      <c r="AL24" s="186"/>
      <c r="AM24" s="186"/>
      <c r="AN24" s="186"/>
      <c r="AO24" s="186"/>
      <c r="AP24" s="186"/>
      <c r="AQ24" s="186"/>
      <c r="AR24" s="28">
        <f t="shared" si="1"/>
        <v>0</v>
      </c>
      <c r="AS24" s="28">
        <f t="shared" si="2"/>
        <v>30364.1</v>
      </c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>
        <f>AC24-'2018dram'!V24-F24</f>
        <v>-347.0000000000007</v>
      </c>
      <c r="BO24" s="28"/>
      <c r="BP24" s="28"/>
      <c r="BQ24" s="28"/>
      <c r="BR24" s="226"/>
      <c r="BS24" s="227">
        <f t="shared" si="7"/>
        <v>-347.0000000000007</v>
      </c>
      <c r="BT24" s="468"/>
      <c r="BU24" s="207"/>
      <c r="BV24" s="207"/>
      <c r="BW24" s="207"/>
      <c r="BX24" s="207"/>
      <c r="BY24" s="207"/>
      <c r="BZ24" s="208"/>
      <c r="CA24" s="183"/>
      <c r="CB24" s="229">
        <f t="shared" si="4"/>
        <v>-347.0000000000007</v>
      </c>
      <c r="CC24" s="199"/>
      <c r="CD24" s="200"/>
      <c r="CE24" s="189">
        <f t="shared" si="5"/>
        <v>0</v>
      </c>
      <c r="CF24" s="139">
        <f t="shared" si="6"/>
        <v>30364.1</v>
      </c>
      <c r="CG24" s="209"/>
    </row>
    <row r="25" spans="1:85" s="7" customFormat="1" ht="15.75" customHeight="1">
      <c r="A25" s="284" t="s">
        <v>188</v>
      </c>
      <c r="B25" s="194"/>
      <c r="C25" s="186"/>
      <c r="D25" s="186"/>
      <c r="E25" s="190"/>
      <c r="F25" s="560">
        <f>'hoaki past18'!F8</f>
        <v>6.4</v>
      </c>
      <c r="G25" s="190"/>
      <c r="H25" s="552">
        <f t="shared" si="11"/>
        <v>6.4</v>
      </c>
      <c r="I25" s="210"/>
      <c r="J25" s="186"/>
      <c r="K25" s="186"/>
      <c r="L25" s="186"/>
      <c r="M25" s="186"/>
      <c r="N25" s="186"/>
      <c r="O25" s="186"/>
      <c r="P25" s="186"/>
      <c r="Q25" s="186"/>
      <c r="R25" s="186"/>
      <c r="S25" s="209"/>
      <c r="T25" s="186"/>
      <c r="U25" s="186"/>
      <c r="V25" s="186"/>
      <c r="W25" s="186"/>
      <c r="X25" s="186"/>
      <c r="Y25" s="186"/>
      <c r="Z25" s="186"/>
      <c r="AA25" s="186"/>
      <c r="AB25" s="186"/>
      <c r="AC25" s="190">
        <f>'hoaki past18'!I8</f>
        <v>18085.899999999998</v>
      </c>
      <c r="AD25" s="186"/>
      <c r="AE25" s="186"/>
      <c r="AF25" s="186"/>
      <c r="AG25" s="187"/>
      <c r="AH25" s="190"/>
      <c r="AI25" s="225">
        <f t="shared" si="12"/>
        <v>18085.899999999998</v>
      </c>
      <c r="AJ25" s="225"/>
      <c r="AK25" s="186"/>
      <c r="AL25" s="186"/>
      <c r="AM25" s="186"/>
      <c r="AN25" s="186"/>
      <c r="AO25" s="186"/>
      <c r="AP25" s="186"/>
      <c r="AQ25" s="186"/>
      <c r="AR25" s="28">
        <f t="shared" si="1"/>
        <v>0</v>
      </c>
      <c r="AS25" s="28">
        <f t="shared" si="2"/>
        <v>18085.899999999998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>
        <f>AC25-'2018dram'!V25-F25</f>
        <v>-6.700000000002911</v>
      </c>
      <c r="BO25" s="28"/>
      <c r="BP25" s="28"/>
      <c r="BQ25" s="28"/>
      <c r="BR25" s="226"/>
      <c r="BS25" s="227">
        <f t="shared" si="7"/>
        <v>-6.700000000002911</v>
      </c>
      <c r="BT25" s="468"/>
      <c r="BU25" s="207"/>
      <c r="BV25" s="207"/>
      <c r="BW25" s="207"/>
      <c r="BX25" s="207"/>
      <c r="BY25" s="207"/>
      <c r="BZ25" s="208"/>
      <c r="CA25" s="183"/>
      <c r="CB25" s="229">
        <f t="shared" si="4"/>
        <v>-6.700000000002911</v>
      </c>
      <c r="CC25" s="199"/>
      <c r="CD25" s="200"/>
      <c r="CE25" s="189">
        <f t="shared" si="5"/>
        <v>0</v>
      </c>
      <c r="CF25" s="139">
        <f t="shared" si="6"/>
        <v>18085.899999999998</v>
      </c>
      <c r="CG25" s="209"/>
    </row>
    <row r="26" spans="1:85" s="7" customFormat="1" ht="15.75" customHeight="1">
      <c r="A26" s="284" t="s">
        <v>189</v>
      </c>
      <c r="B26" s="194"/>
      <c r="C26" s="186"/>
      <c r="D26" s="186"/>
      <c r="E26" s="190"/>
      <c r="F26" s="560">
        <f>'hoaki past18'!F9</f>
        <v>0.4</v>
      </c>
      <c r="G26" s="190"/>
      <c r="H26" s="552">
        <f t="shared" si="11"/>
        <v>0.4</v>
      </c>
      <c r="I26" s="210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0">
        <f>'hoaki past18'!I9</f>
        <v>23081</v>
      </c>
      <c r="AD26" s="186"/>
      <c r="AE26" s="186"/>
      <c r="AF26" s="186"/>
      <c r="AG26" s="187"/>
      <c r="AH26" s="190"/>
      <c r="AI26" s="225">
        <f t="shared" si="12"/>
        <v>23081</v>
      </c>
      <c r="AJ26" s="225"/>
      <c r="AK26" s="186"/>
      <c r="AL26" s="186"/>
      <c r="AM26" s="186"/>
      <c r="AN26" s="186"/>
      <c r="AO26" s="186"/>
      <c r="AP26" s="186"/>
      <c r="AQ26" s="186"/>
      <c r="AR26" s="28">
        <f t="shared" si="1"/>
        <v>0</v>
      </c>
      <c r="AS26" s="28">
        <f t="shared" si="2"/>
        <v>23081</v>
      </c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>
        <f>AC26-'2018dram'!V26-F26</f>
        <v>-2.800000000001455</v>
      </c>
      <c r="BO26" s="28"/>
      <c r="BP26" s="28"/>
      <c r="BQ26" s="28"/>
      <c r="BR26" s="226"/>
      <c r="BS26" s="227">
        <f t="shared" si="7"/>
        <v>-2.800000000001455</v>
      </c>
      <c r="BT26" s="468"/>
      <c r="BU26" s="207"/>
      <c r="BV26" s="207"/>
      <c r="BW26" s="207"/>
      <c r="BX26" s="207"/>
      <c r="BY26" s="207"/>
      <c r="BZ26" s="208"/>
      <c r="CA26" s="183"/>
      <c r="CB26" s="229">
        <f t="shared" si="4"/>
        <v>-2.800000000001455</v>
      </c>
      <c r="CC26" s="199"/>
      <c r="CD26" s="200"/>
      <c r="CE26" s="189">
        <f t="shared" si="5"/>
        <v>0</v>
      </c>
      <c r="CF26" s="139">
        <f t="shared" si="6"/>
        <v>23081</v>
      </c>
      <c r="CG26" s="209"/>
    </row>
    <row r="27" spans="1:85" s="7" customFormat="1" ht="15.75" customHeight="1">
      <c r="A27" s="284" t="s">
        <v>190</v>
      </c>
      <c r="B27" s="194"/>
      <c r="C27" s="186"/>
      <c r="D27" s="186"/>
      <c r="E27" s="190"/>
      <c r="F27" s="560">
        <f>'hoaki past18'!F10</f>
        <v>11.4</v>
      </c>
      <c r="G27" s="190"/>
      <c r="H27" s="552">
        <f t="shared" si="11"/>
        <v>11.4</v>
      </c>
      <c r="I27" s="210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0">
        <f>'hoaki past18'!I10</f>
        <v>23744.899999999998</v>
      </c>
      <c r="AD27" s="186"/>
      <c r="AE27" s="186"/>
      <c r="AF27" s="186"/>
      <c r="AG27" s="187"/>
      <c r="AH27" s="190"/>
      <c r="AI27" s="225">
        <f t="shared" si="12"/>
        <v>23744.899999999998</v>
      </c>
      <c r="AJ27" s="225"/>
      <c r="AK27" s="186"/>
      <c r="AL27" s="186"/>
      <c r="AM27" s="186"/>
      <c r="AN27" s="186"/>
      <c r="AO27" s="186"/>
      <c r="AP27" s="186"/>
      <c r="AQ27" s="186"/>
      <c r="AR27" s="28">
        <f t="shared" si="1"/>
        <v>0</v>
      </c>
      <c r="AS27" s="28">
        <f t="shared" si="2"/>
        <v>23744.899999999998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>
        <f>AC27-'2018dram'!V27-F27</f>
        <v>-20.70000000000291</v>
      </c>
      <c r="BO27" s="28"/>
      <c r="BP27" s="28"/>
      <c r="BQ27" s="28"/>
      <c r="BR27" s="226"/>
      <c r="BS27" s="227">
        <f t="shared" si="7"/>
        <v>-20.70000000000291</v>
      </c>
      <c r="BT27" s="468"/>
      <c r="BU27" s="207"/>
      <c r="BV27" s="207"/>
      <c r="BW27" s="207"/>
      <c r="BX27" s="207"/>
      <c r="BY27" s="207"/>
      <c r="BZ27" s="208"/>
      <c r="CA27" s="183"/>
      <c r="CB27" s="229">
        <f t="shared" si="4"/>
        <v>-20.70000000000291</v>
      </c>
      <c r="CC27" s="199"/>
      <c r="CD27" s="200"/>
      <c r="CE27" s="189">
        <f t="shared" si="5"/>
        <v>0</v>
      </c>
      <c r="CF27" s="139">
        <f t="shared" si="6"/>
        <v>23744.899999999998</v>
      </c>
      <c r="CG27" s="209"/>
    </row>
    <row r="28" spans="1:85" s="7" customFormat="1" ht="15.75" customHeight="1">
      <c r="A28" s="284" t="s">
        <v>191</v>
      </c>
      <c r="B28" s="194"/>
      <c r="C28" s="186"/>
      <c r="D28" s="186"/>
      <c r="E28" s="190"/>
      <c r="F28" s="560">
        <f>'hoaki past18'!F11</f>
        <v>10.7</v>
      </c>
      <c r="G28" s="190"/>
      <c r="H28" s="552">
        <f t="shared" si="11"/>
        <v>10.7</v>
      </c>
      <c r="I28" s="210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90">
        <f>'hoaki past18'!I11</f>
        <v>30414</v>
      </c>
      <c r="AD28" s="186"/>
      <c r="AE28" s="186"/>
      <c r="AF28" s="186"/>
      <c r="AG28" s="187"/>
      <c r="AH28" s="190"/>
      <c r="AI28" s="225">
        <f t="shared" si="12"/>
        <v>30414</v>
      </c>
      <c r="AJ28" s="225"/>
      <c r="AK28" s="186"/>
      <c r="AL28" s="186"/>
      <c r="AM28" s="186"/>
      <c r="AN28" s="186"/>
      <c r="AO28" s="186"/>
      <c r="AP28" s="186"/>
      <c r="AQ28" s="186"/>
      <c r="AR28" s="28">
        <f t="shared" si="1"/>
        <v>0</v>
      </c>
      <c r="AS28" s="28">
        <f t="shared" si="2"/>
        <v>30414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>
        <f>AC28-'2018dram'!V28-F28</f>
        <v>-77.60000000000146</v>
      </c>
      <c r="BO28" s="28"/>
      <c r="BP28" s="28"/>
      <c r="BQ28" s="28"/>
      <c r="BR28" s="226"/>
      <c r="BS28" s="227">
        <f t="shared" si="7"/>
        <v>-77.60000000000146</v>
      </c>
      <c r="BT28" s="468"/>
      <c r="BU28" s="207"/>
      <c r="BV28" s="207"/>
      <c r="BW28" s="207"/>
      <c r="BX28" s="207"/>
      <c r="BY28" s="207"/>
      <c r="BZ28" s="208"/>
      <c r="CA28" s="183"/>
      <c r="CB28" s="229">
        <f t="shared" si="4"/>
        <v>-77.60000000000146</v>
      </c>
      <c r="CC28" s="199"/>
      <c r="CD28" s="200"/>
      <c r="CE28" s="189">
        <f t="shared" si="5"/>
        <v>0</v>
      </c>
      <c r="CF28" s="139">
        <f t="shared" si="6"/>
        <v>30414</v>
      </c>
      <c r="CG28" s="209"/>
    </row>
    <row r="29" spans="1:85" s="7" customFormat="1" ht="15.75" customHeight="1">
      <c r="A29" s="284" t="s">
        <v>192</v>
      </c>
      <c r="B29" s="194"/>
      <c r="C29" s="186"/>
      <c r="D29" s="186"/>
      <c r="E29" s="190"/>
      <c r="F29" s="560">
        <f>'hoaki past18'!F12</f>
        <v>0</v>
      </c>
      <c r="G29" s="190"/>
      <c r="H29" s="552">
        <f t="shared" si="11"/>
        <v>0</v>
      </c>
      <c r="I29" s="210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90">
        <f>'hoaki past18'!I12</f>
        <v>24003</v>
      </c>
      <c r="AD29" s="186"/>
      <c r="AE29" s="186"/>
      <c r="AF29" s="186"/>
      <c r="AG29" s="187"/>
      <c r="AH29" s="190"/>
      <c r="AI29" s="225">
        <f t="shared" si="12"/>
        <v>24003</v>
      </c>
      <c r="AJ29" s="225"/>
      <c r="AK29" s="186"/>
      <c r="AL29" s="186"/>
      <c r="AM29" s="186"/>
      <c r="AN29" s="186"/>
      <c r="AO29" s="186"/>
      <c r="AP29" s="186"/>
      <c r="AQ29" s="186"/>
      <c r="AR29" s="28">
        <f t="shared" si="1"/>
        <v>0</v>
      </c>
      <c r="AS29" s="28">
        <f t="shared" si="2"/>
        <v>24003</v>
      </c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>
        <f>AC29-'2018dram'!V29-F29</f>
        <v>-4.799999999999272</v>
      </c>
      <c r="BO29" s="28"/>
      <c r="BP29" s="28"/>
      <c r="BQ29" s="28"/>
      <c r="BR29" s="226"/>
      <c r="BS29" s="227">
        <f t="shared" si="7"/>
        <v>-4.799999999999272</v>
      </c>
      <c r="BT29" s="468"/>
      <c r="BU29" s="207"/>
      <c r="BV29" s="207"/>
      <c r="BW29" s="207"/>
      <c r="BX29" s="207"/>
      <c r="BY29" s="207"/>
      <c r="BZ29" s="208"/>
      <c r="CA29" s="183"/>
      <c r="CB29" s="229">
        <f t="shared" si="4"/>
        <v>-4.799999999999272</v>
      </c>
      <c r="CC29" s="199"/>
      <c r="CD29" s="200"/>
      <c r="CE29" s="189">
        <f t="shared" si="5"/>
        <v>0</v>
      </c>
      <c r="CF29" s="139">
        <f t="shared" si="6"/>
        <v>24003</v>
      </c>
      <c r="CG29" s="209"/>
    </row>
    <row r="30" spans="1:85" s="7" customFormat="1" ht="15.75" customHeight="1">
      <c r="A30" s="284" t="s">
        <v>193</v>
      </c>
      <c r="B30" s="194"/>
      <c r="C30" s="186"/>
      <c r="D30" s="186"/>
      <c r="E30" s="190"/>
      <c r="F30" s="560">
        <f>'hoaki past18'!F13</f>
        <v>226.7</v>
      </c>
      <c r="G30" s="190"/>
      <c r="H30" s="552">
        <f t="shared" si="11"/>
        <v>226.7</v>
      </c>
      <c r="I30" s="210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90">
        <f>'hoaki past18'!I13</f>
        <v>28405.399999999994</v>
      </c>
      <c r="AD30" s="186"/>
      <c r="AE30" s="186"/>
      <c r="AF30" s="186"/>
      <c r="AG30" s="187"/>
      <c r="AH30" s="190"/>
      <c r="AI30" s="225">
        <f t="shared" si="12"/>
        <v>28405.399999999994</v>
      </c>
      <c r="AJ30" s="225"/>
      <c r="AK30" s="186"/>
      <c r="AL30" s="186"/>
      <c r="AM30" s="186"/>
      <c r="AN30" s="186"/>
      <c r="AO30" s="186"/>
      <c r="AP30" s="186"/>
      <c r="AQ30" s="186"/>
      <c r="AR30" s="28">
        <f t="shared" si="1"/>
        <v>0</v>
      </c>
      <c r="AS30" s="28">
        <f t="shared" si="2"/>
        <v>28405.399999999994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>
        <f>AC30-'2018dram'!V30-F30</f>
        <v>-213.8000000000058</v>
      </c>
      <c r="BO30" s="28"/>
      <c r="BP30" s="28"/>
      <c r="BQ30" s="28"/>
      <c r="BR30" s="226"/>
      <c r="BS30" s="227">
        <f t="shared" si="7"/>
        <v>-213.8000000000058</v>
      </c>
      <c r="BT30" s="468"/>
      <c r="BU30" s="207"/>
      <c r="BV30" s="207"/>
      <c r="BW30" s="207"/>
      <c r="BX30" s="207"/>
      <c r="BY30" s="207"/>
      <c r="BZ30" s="208"/>
      <c r="CA30" s="183"/>
      <c r="CB30" s="229">
        <f t="shared" si="4"/>
        <v>-213.8000000000058</v>
      </c>
      <c r="CC30" s="199"/>
      <c r="CD30" s="200"/>
      <c r="CE30" s="189">
        <f t="shared" si="5"/>
        <v>0</v>
      </c>
      <c r="CF30" s="139">
        <f t="shared" si="6"/>
        <v>28405.399999999994</v>
      </c>
      <c r="CG30" s="209"/>
    </row>
    <row r="31" spans="1:85" s="7" customFormat="1" ht="15.75" customHeight="1">
      <c r="A31" s="284" t="s">
        <v>194</v>
      </c>
      <c r="B31" s="194"/>
      <c r="C31" s="186"/>
      <c r="D31" s="186"/>
      <c r="E31" s="190"/>
      <c r="F31" s="560">
        <f>'hoaki past18'!F14</f>
        <v>49.3</v>
      </c>
      <c r="G31" s="190"/>
      <c r="H31" s="552">
        <f t="shared" si="11"/>
        <v>49.3</v>
      </c>
      <c r="I31" s="210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90">
        <f>'hoaki past18'!I14</f>
        <v>23831.6</v>
      </c>
      <c r="AD31" s="186"/>
      <c r="AE31" s="186"/>
      <c r="AF31" s="186"/>
      <c r="AG31" s="187"/>
      <c r="AH31" s="190"/>
      <c r="AI31" s="225">
        <f t="shared" si="12"/>
        <v>23831.6</v>
      </c>
      <c r="AJ31" s="225"/>
      <c r="AK31" s="186"/>
      <c r="AL31" s="186"/>
      <c r="AM31" s="186"/>
      <c r="AN31" s="186"/>
      <c r="AO31" s="186"/>
      <c r="AP31" s="186"/>
      <c r="AQ31" s="186"/>
      <c r="AR31" s="28">
        <f t="shared" si="1"/>
        <v>0</v>
      </c>
      <c r="AS31" s="28">
        <f t="shared" si="2"/>
        <v>23831.6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>
        <f>AC31-'2018dram'!V31-F31</f>
        <v>-12.500000000000725</v>
      </c>
      <c r="BO31" s="28"/>
      <c r="BP31" s="28"/>
      <c r="BQ31" s="28"/>
      <c r="BR31" s="226"/>
      <c r="BS31" s="227">
        <f t="shared" si="7"/>
        <v>-12.500000000000725</v>
      </c>
      <c r="BT31" s="468"/>
      <c r="BU31" s="207"/>
      <c r="BV31" s="207"/>
      <c r="BW31" s="207"/>
      <c r="BX31" s="207"/>
      <c r="BY31" s="207"/>
      <c r="BZ31" s="208"/>
      <c r="CA31" s="183"/>
      <c r="CB31" s="229">
        <f t="shared" si="4"/>
        <v>-12.500000000000725</v>
      </c>
      <c r="CC31" s="199"/>
      <c r="CD31" s="200"/>
      <c r="CE31" s="189">
        <f t="shared" si="5"/>
        <v>0</v>
      </c>
      <c r="CF31" s="139">
        <f t="shared" si="6"/>
        <v>23831.6</v>
      </c>
      <c r="CG31" s="209"/>
    </row>
    <row r="32" spans="1:85" s="7" customFormat="1" ht="15.75" customHeight="1" thickBot="1">
      <c r="A32" s="284" t="s">
        <v>195</v>
      </c>
      <c r="B32" s="561"/>
      <c r="C32" s="192"/>
      <c r="D32" s="192"/>
      <c r="E32" s="188"/>
      <c r="F32" s="562">
        <f>'hoaki past18'!F15</f>
        <v>39.5</v>
      </c>
      <c r="G32" s="188"/>
      <c r="H32" s="554">
        <f t="shared" si="11"/>
        <v>39.5</v>
      </c>
      <c r="I32" s="211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88">
        <f>'hoaki past18'!I15</f>
        <v>27089.6</v>
      </c>
      <c r="AD32" s="192"/>
      <c r="AE32" s="192"/>
      <c r="AF32" s="192"/>
      <c r="AG32" s="193"/>
      <c r="AH32" s="188"/>
      <c r="AI32" s="460">
        <f t="shared" si="12"/>
        <v>27089.6</v>
      </c>
      <c r="AJ32" s="460"/>
      <c r="AK32" s="192"/>
      <c r="AL32" s="192"/>
      <c r="AM32" s="192"/>
      <c r="AN32" s="192"/>
      <c r="AO32" s="192"/>
      <c r="AP32" s="192"/>
      <c r="AQ32" s="192"/>
      <c r="AR32" s="93">
        <f t="shared" si="1"/>
        <v>0</v>
      </c>
      <c r="AS32" s="93">
        <f t="shared" si="2"/>
        <v>27089.6</v>
      </c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>
        <f>AC32-'2018dram'!V32-F32</f>
        <v>-5.600000000002183</v>
      </c>
      <c r="BO32" s="93"/>
      <c r="BP32" s="93"/>
      <c r="BQ32" s="93"/>
      <c r="BR32" s="469"/>
      <c r="BS32" s="470">
        <f t="shared" si="7"/>
        <v>-5.600000000002183</v>
      </c>
      <c r="BT32" s="471"/>
      <c r="BU32" s="212"/>
      <c r="BV32" s="212"/>
      <c r="BW32" s="212"/>
      <c r="BX32" s="212"/>
      <c r="BY32" s="212"/>
      <c r="BZ32" s="213"/>
      <c r="CA32" s="184"/>
      <c r="CB32" s="472">
        <f t="shared" si="4"/>
        <v>-5.600000000002183</v>
      </c>
      <c r="CC32" s="214"/>
      <c r="CD32" s="215"/>
      <c r="CE32" s="216">
        <f t="shared" si="5"/>
        <v>0</v>
      </c>
      <c r="CF32" s="165">
        <f t="shared" si="6"/>
        <v>27089.6</v>
      </c>
      <c r="CG32" s="209"/>
    </row>
    <row r="33" spans="1:85" s="12" customFormat="1" ht="18.75" customHeight="1" thickBot="1">
      <c r="A33" s="299" t="s">
        <v>202</v>
      </c>
      <c r="B33" s="461">
        <f aca="true" t="shared" si="13" ref="B33:AJ33">SUM(B21:B32)</f>
        <v>0</v>
      </c>
      <c r="C33" s="461">
        <f t="shared" si="13"/>
        <v>0</v>
      </c>
      <c r="D33" s="461">
        <f t="shared" si="13"/>
        <v>0</v>
      </c>
      <c r="E33" s="461">
        <f t="shared" si="13"/>
        <v>0</v>
      </c>
      <c r="F33" s="461">
        <f t="shared" si="13"/>
        <v>679.6999999999998</v>
      </c>
      <c r="G33" s="461">
        <f t="shared" si="13"/>
        <v>0</v>
      </c>
      <c r="H33" s="555">
        <f t="shared" si="13"/>
        <v>679.6999999999998</v>
      </c>
      <c r="I33" s="475">
        <f t="shared" si="13"/>
        <v>0</v>
      </c>
      <c r="J33" s="473">
        <f t="shared" si="13"/>
        <v>0</v>
      </c>
      <c r="K33" s="473">
        <f t="shared" si="13"/>
        <v>0</v>
      </c>
      <c r="L33" s="473">
        <f t="shared" si="13"/>
        <v>0</v>
      </c>
      <c r="M33" s="473">
        <f t="shared" si="13"/>
        <v>0</v>
      </c>
      <c r="N33" s="473">
        <f t="shared" si="13"/>
        <v>0</v>
      </c>
      <c r="O33" s="473">
        <f t="shared" si="13"/>
        <v>0</v>
      </c>
      <c r="P33" s="473">
        <f t="shared" si="13"/>
        <v>0</v>
      </c>
      <c r="Q33" s="473">
        <f t="shared" si="13"/>
        <v>0</v>
      </c>
      <c r="R33" s="473">
        <f t="shared" si="13"/>
        <v>0</v>
      </c>
      <c r="S33" s="473">
        <f t="shared" si="13"/>
        <v>0</v>
      </c>
      <c r="T33" s="473">
        <f t="shared" si="13"/>
        <v>0</v>
      </c>
      <c r="U33" s="473">
        <f t="shared" si="13"/>
        <v>0</v>
      </c>
      <c r="V33" s="473">
        <f t="shared" si="13"/>
        <v>0</v>
      </c>
      <c r="W33" s="473">
        <f t="shared" si="13"/>
        <v>0</v>
      </c>
      <c r="X33" s="473">
        <f t="shared" si="13"/>
        <v>0</v>
      </c>
      <c r="Y33" s="473">
        <f t="shared" si="13"/>
        <v>0</v>
      </c>
      <c r="Z33" s="473">
        <f t="shared" si="13"/>
        <v>0</v>
      </c>
      <c r="AA33" s="473">
        <f t="shared" si="13"/>
        <v>0</v>
      </c>
      <c r="AB33" s="473">
        <f t="shared" si="13"/>
        <v>0</v>
      </c>
      <c r="AC33" s="473">
        <f t="shared" si="13"/>
        <v>288010.39999999997</v>
      </c>
      <c r="AD33" s="473">
        <f t="shared" si="13"/>
        <v>0</v>
      </c>
      <c r="AE33" s="473">
        <f t="shared" si="13"/>
        <v>0</v>
      </c>
      <c r="AF33" s="473">
        <f t="shared" si="13"/>
        <v>0</v>
      </c>
      <c r="AG33" s="476">
        <f t="shared" si="13"/>
        <v>0</v>
      </c>
      <c r="AH33" s="473">
        <f t="shared" si="13"/>
        <v>0</v>
      </c>
      <c r="AI33" s="476">
        <f t="shared" si="13"/>
        <v>288010.39999999997</v>
      </c>
      <c r="AJ33" s="473">
        <f t="shared" si="13"/>
        <v>0</v>
      </c>
      <c r="AK33" s="473">
        <f aca="true" t="shared" si="14" ref="AK33:BW33">SUM(AK21:AK32)</f>
        <v>0</v>
      </c>
      <c r="AL33" s="473">
        <f t="shared" si="14"/>
        <v>0</v>
      </c>
      <c r="AM33" s="473">
        <f t="shared" si="14"/>
        <v>0</v>
      </c>
      <c r="AN33" s="473">
        <f t="shared" si="14"/>
        <v>0</v>
      </c>
      <c r="AO33" s="473">
        <f t="shared" si="14"/>
        <v>0</v>
      </c>
      <c r="AP33" s="473">
        <f t="shared" si="14"/>
        <v>0</v>
      </c>
      <c r="AQ33" s="473">
        <f t="shared" si="14"/>
        <v>0</v>
      </c>
      <c r="AR33" s="473">
        <f t="shared" si="14"/>
        <v>0</v>
      </c>
      <c r="AS33" s="473">
        <f t="shared" si="14"/>
        <v>288010.39999999997</v>
      </c>
      <c r="AT33" s="473">
        <f t="shared" si="14"/>
        <v>0</v>
      </c>
      <c r="AU33" s="473">
        <f t="shared" si="14"/>
        <v>0</v>
      </c>
      <c r="AV33" s="473">
        <f t="shared" si="14"/>
        <v>0</v>
      </c>
      <c r="AW33" s="473">
        <f t="shared" si="14"/>
        <v>0</v>
      </c>
      <c r="AX33" s="473">
        <f t="shared" si="14"/>
        <v>0</v>
      </c>
      <c r="AY33" s="473">
        <f t="shared" si="14"/>
        <v>0</v>
      </c>
      <c r="AZ33" s="473">
        <f t="shared" si="14"/>
        <v>0</v>
      </c>
      <c r="BA33" s="473">
        <f t="shared" si="14"/>
        <v>0</v>
      </c>
      <c r="BB33" s="473">
        <f t="shared" si="14"/>
        <v>0</v>
      </c>
      <c r="BC33" s="473">
        <f t="shared" si="14"/>
        <v>0</v>
      </c>
      <c r="BD33" s="473">
        <f t="shared" si="14"/>
        <v>0</v>
      </c>
      <c r="BE33" s="473">
        <f t="shared" si="14"/>
        <v>0</v>
      </c>
      <c r="BF33" s="473">
        <f t="shared" si="14"/>
        <v>0</v>
      </c>
      <c r="BG33" s="473">
        <f t="shared" si="14"/>
        <v>0</v>
      </c>
      <c r="BH33" s="473">
        <f t="shared" si="14"/>
        <v>0</v>
      </c>
      <c r="BI33" s="473">
        <f t="shared" si="14"/>
        <v>0</v>
      </c>
      <c r="BJ33" s="473">
        <f t="shared" si="14"/>
        <v>0</v>
      </c>
      <c r="BK33" s="473">
        <f t="shared" si="14"/>
        <v>0</v>
      </c>
      <c r="BL33" s="473">
        <f t="shared" si="14"/>
        <v>0</v>
      </c>
      <c r="BM33" s="473">
        <f t="shared" si="14"/>
        <v>0</v>
      </c>
      <c r="BN33" s="473">
        <f t="shared" si="14"/>
        <v>-804.4000000000187</v>
      </c>
      <c r="BO33" s="473">
        <f t="shared" si="14"/>
        <v>0</v>
      </c>
      <c r="BP33" s="473">
        <f t="shared" si="14"/>
        <v>0</v>
      </c>
      <c r="BQ33" s="473">
        <f t="shared" si="14"/>
        <v>0</v>
      </c>
      <c r="BR33" s="476">
        <f>SUM(BR21:BR32)</f>
        <v>0</v>
      </c>
      <c r="BS33" s="474">
        <f t="shared" si="14"/>
        <v>-804.4000000000187</v>
      </c>
      <c r="BT33" s="477">
        <f t="shared" si="14"/>
        <v>0</v>
      </c>
      <c r="BU33" s="478">
        <f t="shared" si="14"/>
        <v>0</v>
      </c>
      <c r="BV33" s="478">
        <f t="shared" si="14"/>
        <v>0</v>
      </c>
      <c r="BW33" s="478">
        <f t="shared" si="14"/>
        <v>0</v>
      </c>
      <c r="BX33" s="478">
        <f aca="true" t="shared" si="15" ref="BX33:CF33">SUM(BX21:BX32)</f>
        <v>0</v>
      </c>
      <c r="BY33" s="478">
        <f t="shared" si="15"/>
        <v>0</v>
      </c>
      <c r="BZ33" s="479">
        <f t="shared" si="15"/>
        <v>0</v>
      </c>
      <c r="CA33" s="480">
        <f t="shared" si="15"/>
        <v>0</v>
      </c>
      <c r="CB33" s="474">
        <f t="shared" si="15"/>
        <v>-804.4000000000187</v>
      </c>
      <c r="CC33" s="481">
        <f t="shared" si="15"/>
        <v>0</v>
      </c>
      <c r="CD33" s="482">
        <f t="shared" si="15"/>
        <v>0</v>
      </c>
      <c r="CE33" s="482">
        <f t="shared" si="15"/>
        <v>0</v>
      </c>
      <c r="CF33" s="466">
        <f t="shared" si="15"/>
        <v>288010.39999999997</v>
      </c>
      <c r="CG33" s="217"/>
    </row>
    <row r="34" spans="1:85" s="7" customFormat="1" ht="15" customHeight="1">
      <c r="A34" s="284" t="s">
        <v>196</v>
      </c>
      <c r="B34" s="459"/>
      <c r="C34" s="190"/>
      <c r="D34" s="190"/>
      <c r="E34" s="190"/>
      <c r="F34" s="560">
        <f>'hoaki past18'!F17</f>
        <v>214.4</v>
      </c>
      <c r="G34" s="190"/>
      <c r="H34" s="552">
        <f t="shared" si="11"/>
        <v>214.4</v>
      </c>
      <c r="I34" s="206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>
        <f>'hoaki past18'!I17</f>
        <v>40367.799999999996</v>
      </c>
      <c r="AD34" s="190"/>
      <c r="AE34" s="190"/>
      <c r="AF34" s="190"/>
      <c r="AG34" s="191"/>
      <c r="AH34" s="190"/>
      <c r="AI34" s="225">
        <f>I34+J34+K34+L34+M34+N34+O34+P34+Q34+R34+S34+T34+U34+V34+W34+X34+Y34+Z34+AA34+AB34+AC34+AD34+AE34+AF34+AG34</f>
        <v>40367.799999999996</v>
      </c>
      <c r="AJ34" s="225"/>
      <c r="AK34" s="190"/>
      <c r="AL34" s="190"/>
      <c r="AM34" s="190"/>
      <c r="AN34" s="190"/>
      <c r="AO34" s="190"/>
      <c r="AP34" s="190"/>
      <c r="AQ34" s="190"/>
      <c r="AR34" s="28">
        <f>AK34+AL34+AM34+AN34+AO34+AQ34+AJ34</f>
        <v>0</v>
      </c>
      <c r="AS34" s="28">
        <f>AI34+AR34</f>
        <v>40367.799999999996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>
        <f>AC34-'2018dram'!V34-F34</f>
        <v>-280.0000000000058</v>
      </c>
      <c r="BO34" s="28">
        <f>AD34-'2018dram'!W34</f>
        <v>0</v>
      </c>
      <c r="BP34" s="28"/>
      <c r="BQ34" s="28"/>
      <c r="BR34" s="226"/>
      <c r="BS34" s="227">
        <f t="shared" si="7"/>
        <v>-280.0000000000058</v>
      </c>
      <c r="BT34" s="468"/>
      <c r="BU34" s="207"/>
      <c r="BV34" s="207"/>
      <c r="BW34" s="207"/>
      <c r="BX34" s="207"/>
      <c r="BY34" s="207"/>
      <c r="BZ34" s="208"/>
      <c r="CA34" s="183"/>
      <c r="CB34" s="229">
        <f t="shared" si="4"/>
        <v>-280.0000000000058</v>
      </c>
      <c r="CC34" s="196"/>
      <c r="CD34" s="197"/>
      <c r="CE34" s="198">
        <f t="shared" si="5"/>
        <v>0</v>
      </c>
      <c r="CF34" s="139">
        <f t="shared" si="6"/>
        <v>40367.799999999996</v>
      </c>
      <c r="CG34" s="209"/>
    </row>
    <row r="35" spans="1:85" s="7" customFormat="1" ht="15" customHeight="1">
      <c r="A35" s="303" t="s">
        <v>197</v>
      </c>
      <c r="B35" s="194"/>
      <c r="C35" s="186"/>
      <c r="D35" s="186"/>
      <c r="E35" s="190"/>
      <c r="F35" s="560">
        <f>'hoaki past18'!F18</f>
        <v>1</v>
      </c>
      <c r="G35" s="190"/>
      <c r="H35" s="552">
        <f t="shared" si="11"/>
        <v>1</v>
      </c>
      <c r="I35" s="210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90">
        <f>'hoaki past18'!I18</f>
        <v>19496.9</v>
      </c>
      <c r="AD35" s="186"/>
      <c r="AE35" s="186"/>
      <c r="AF35" s="186"/>
      <c r="AG35" s="187"/>
      <c r="AH35" s="190"/>
      <c r="AI35" s="225">
        <f>I35+J35+K35+L35+M35+N35+O35+P35+Q35+R35+S35+T35+U35+V35+W35+X35+Y35+Z35+AA35+AB35+AC35+AD35+AE35+AF35+AG35</f>
        <v>19496.9</v>
      </c>
      <c r="AJ35" s="225"/>
      <c r="AK35" s="186"/>
      <c r="AL35" s="186"/>
      <c r="AM35" s="186"/>
      <c r="AN35" s="186"/>
      <c r="AO35" s="186"/>
      <c r="AP35" s="186"/>
      <c r="AQ35" s="186"/>
      <c r="AR35" s="28">
        <f>AK35+AL35+AM35+AN35+AO35+AQ35+AJ35</f>
        <v>0</v>
      </c>
      <c r="AS35" s="28">
        <f t="shared" si="2"/>
        <v>19496.9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>
        <f>AC35-'2018dram'!V35-F35</f>
        <v>-2.2999999999992724</v>
      </c>
      <c r="BO35" s="28">
        <f>AD35-'2018dram'!W35</f>
        <v>0</v>
      </c>
      <c r="BP35" s="28"/>
      <c r="BQ35" s="28"/>
      <c r="BR35" s="226"/>
      <c r="BS35" s="227">
        <f t="shared" si="7"/>
        <v>-2.2999999999992724</v>
      </c>
      <c r="BT35" s="468"/>
      <c r="BU35" s="207"/>
      <c r="BV35" s="207"/>
      <c r="BW35" s="207"/>
      <c r="BX35" s="207"/>
      <c r="BY35" s="207"/>
      <c r="BZ35" s="208"/>
      <c r="CA35" s="183"/>
      <c r="CB35" s="229">
        <f t="shared" si="4"/>
        <v>-2.2999999999992724</v>
      </c>
      <c r="CC35" s="199"/>
      <c r="CD35" s="200"/>
      <c r="CE35" s="189">
        <f t="shared" si="5"/>
        <v>0</v>
      </c>
      <c r="CF35" s="139">
        <f t="shared" si="6"/>
        <v>19496.9</v>
      </c>
      <c r="CG35" s="209" t="s">
        <v>86</v>
      </c>
    </row>
    <row r="36" spans="1:85" s="7" customFormat="1" ht="15" customHeight="1">
      <c r="A36" s="304" t="s">
        <v>198</v>
      </c>
      <c r="B36" s="194"/>
      <c r="C36" s="186"/>
      <c r="D36" s="186"/>
      <c r="E36" s="190"/>
      <c r="F36" s="560">
        <f>'hoaki past18'!F19</f>
        <v>178.49999999999997</v>
      </c>
      <c r="G36" s="190"/>
      <c r="H36" s="552">
        <f t="shared" si="11"/>
        <v>178.49999999999997</v>
      </c>
      <c r="I36" s="210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90">
        <f>'hoaki past18'!I19</f>
        <v>25615.8</v>
      </c>
      <c r="AD36" s="186"/>
      <c r="AE36" s="186"/>
      <c r="AF36" s="186"/>
      <c r="AG36" s="187"/>
      <c r="AH36" s="190"/>
      <c r="AI36" s="225">
        <f>I36+J36+K36+L36+M36+N36+O36+P36+Q36+R36+S36+T36+U36+V36+W36+X36+Y36+Z36+AA36+AB36+AC36+AD36+AE36+AF36+AG36</f>
        <v>25615.8</v>
      </c>
      <c r="AJ36" s="225"/>
      <c r="AK36" s="186"/>
      <c r="AL36" s="186"/>
      <c r="AM36" s="186"/>
      <c r="AN36" s="186"/>
      <c r="AO36" s="186"/>
      <c r="AP36" s="186"/>
      <c r="AQ36" s="186"/>
      <c r="AR36" s="28">
        <f t="shared" si="1"/>
        <v>0</v>
      </c>
      <c r="AS36" s="28">
        <f t="shared" si="2"/>
        <v>25615.8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>
        <f>AC36-'2018dram'!V36-F36</f>
        <v>-193.2000000000007</v>
      </c>
      <c r="BO36" s="28"/>
      <c r="BP36" s="28"/>
      <c r="BQ36" s="28"/>
      <c r="BR36" s="226"/>
      <c r="BS36" s="227">
        <f t="shared" si="7"/>
        <v>-193.2000000000007</v>
      </c>
      <c r="BT36" s="468"/>
      <c r="BU36" s="207"/>
      <c r="BV36" s="207"/>
      <c r="BW36" s="207"/>
      <c r="BX36" s="207"/>
      <c r="BY36" s="207"/>
      <c r="BZ36" s="208"/>
      <c r="CA36" s="183"/>
      <c r="CB36" s="229">
        <f t="shared" si="4"/>
        <v>-193.2000000000007</v>
      </c>
      <c r="CC36" s="199"/>
      <c r="CD36" s="200"/>
      <c r="CE36" s="189">
        <f t="shared" si="5"/>
        <v>0</v>
      </c>
      <c r="CF36" s="139">
        <f t="shared" si="6"/>
        <v>25615.8</v>
      </c>
      <c r="CG36" s="209"/>
    </row>
    <row r="37" spans="1:85" s="7" customFormat="1" ht="15" customHeight="1">
      <c r="A37" s="304" t="s">
        <v>199</v>
      </c>
      <c r="B37" s="194"/>
      <c r="C37" s="186"/>
      <c r="D37" s="186"/>
      <c r="E37" s="190"/>
      <c r="F37" s="560">
        <f>'hoaki past18'!F20</f>
        <v>146.6</v>
      </c>
      <c r="G37" s="190"/>
      <c r="H37" s="552">
        <f t="shared" si="11"/>
        <v>146.6</v>
      </c>
      <c r="I37" s="210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90">
        <f>'hoaki past18'!I20</f>
        <v>14949.399999999998</v>
      </c>
      <c r="AD37" s="186"/>
      <c r="AE37" s="186"/>
      <c r="AF37" s="186"/>
      <c r="AG37" s="187"/>
      <c r="AH37" s="190"/>
      <c r="AI37" s="225">
        <f>I37+J37+K37+L37+M37+N37+O37+P37+Q37+R37+S37+T37+U37+V37+W37+X37+Y37+Z37+AA37+AB37+AC37+AD37+AE37+AF37+AG37</f>
        <v>14949.399999999998</v>
      </c>
      <c r="AJ37" s="225"/>
      <c r="AK37" s="186"/>
      <c r="AL37" s="186"/>
      <c r="AM37" s="186"/>
      <c r="AN37" s="186"/>
      <c r="AO37" s="186"/>
      <c r="AP37" s="186"/>
      <c r="AQ37" s="186"/>
      <c r="AR37" s="28">
        <f t="shared" si="1"/>
        <v>0</v>
      </c>
      <c r="AS37" s="28">
        <f t="shared" si="2"/>
        <v>14949.399999999998</v>
      </c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>
        <f>AC37-'2018dram'!V37-F37</f>
        <v>-125.9000000000029</v>
      </c>
      <c r="BO37" s="28"/>
      <c r="BP37" s="28"/>
      <c r="BQ37" s="28"/>
      <c r="BR37" s="226"/>
      <c r="BS37" s="227">
        <f t="shared" si="7"/>
        <v>-125.9000000000029</v>
      </c>
      <c r="BT37" s="468"/>
      <c r="BU37" s="207"/>
      <c r="BV37" s="207"/>
      <c r="BW37" s="207"/>
      <c r="BX37" s="207"/>
      <c r="BY37" s="207"/>
      <c r="BZ37" s="208"/>
      <c r="CA37" s="183"/>
      <c r="CB37" s="229">
        <f t="shared" si="4"/>
        <v>-125.9000000000029</v>
      </c>
      <c r="CC37" s="199"/>
      <c r="CD37" s="200"/>
      <c r="CE37" s="189">
        <f t="shared" si="5"/>
        <v>0</v>
      </c>
      <c r="CF37" s="139">
        <f t="shared" si="6"/>
        <v>14949.399999999998</v>
      </c>
      <c r="CG37" s="209"/>
    </row>
    <row r="38" spans="1:85" s="7" customFormat="1" ht="15" customHeight="1" thickBot="1">
      <c r="A38" s="304" t="s">
        <v>200</v>
      </c>
      <c r="B38" s="561"/>
      <c r="C38" s="192"/>
      <c r="D38" s="192"/>
      <c r="E38" s="188"/>
      <c r="F38" s="562">
        <f>'hoaki past18'!F21</f>
        <v>82.6</v>
      </c>
      <c r="G38" s="188"/>
      <c r="H38" s="554">
        <f t="shared" si="11"/>
        <v>82.6</v>
      </c>
      <c r="I38" s="211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88">
        <f>'hoaki past18'!I21</f>
        <v>9798.000000000002</v>
      </c>
      <c r="AD38" s="192"/>
      <c r="AE38" s="192"/>
      <c r="AF38" s="192"/>
      <c r="AG38" s="193"/>
      <c r="AH38" s="188"/>
      <c r="AI38" s="460">
        <f>I38+J38+K38+L38+M38+N38+O38+P38+Q38+R38+S38+T38+U38+V38+W38+X38+Y38+Z38+AA38+AB38+AC38+AD38+AE38+AF38+AG38</f>
        <v>9798.000000000002</v>
      </c>
      <c r="AJ38" s="460"/>
      <c r="AK38" s="192"/>
      <c r="AL38" s="192"/>
      <c r="AM38" s="192"/>
      <c r="AN38" s="192"/>
      <c r="AO38" s="192"/>
      <c r="AP38" s="192"/>
      <c r="AQ38" s="192"/>
      <c r="AR38" s="93">
        <f t="shared" si="1"/>
        <v>0</v>
      </c>
      <c r="AS38" s="93">
        <f t="shared" si="2"/>
        <v>9798.000000000002</v>
      </c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>
        <f>AC38-'2018dram'!V38-F38</f>
        <v>-71.39999999999745</v>
      </c>
      <c r="BO38" s="93"/>
      <c r="BP38" s="93"/>
      <c r="BQ38" s="93"/>
      <c r="BR38" s="469"/>
      <c r="BS38" s="470">
        <f t="shared" si="7"/>
        <v>-71.39999999999745</v>
      </c>
      <c r="BT38" s="471"/>
      <c r="BU38" s="212"/>
      <c r="BV38" s="212"/>
      <c r="BW38" s="212"/>
      <c r="BX38" s="212"/>
      <c r="BY38" s="212"/>
      <c r="BZ38" s="213"/>
      <c r="CA38" s="184"/>
      <c r="CB38" s="472">
        <f t="shared" si="4"/>
        <v>-71.39999999999745</v>
      </c>
      <c r="CC38" s="214"/>
      <c r="CD38" s="215"/>
      <c r="CE38" s="216">
        <f t="shared" si="5"/>
        <v>0</v>
      </c>
      <c r="CF38" s="165">
        <f t="shared" si="6"/>
        <v>9798.000000000002</v>
      </c>
      <c r="CG38" s="209"/>
    </row>
    <row r="39" spans="1:85" s="12" customFormat="1" ht="17.25" customHeight="1" thickBot="1">
      <c r="A39" s="299" t="s">
        <v>201</v>
      </c>
      <c r="B39" s="461">
        <f>B34+B35+B36+B37+B38</f>
        <v>0</v>
      </c>
      <c r="C39" s="461">
        <f aca="true" t="shared" si="16" ref="C39:AS39">C34+C35+C36+C37+C38</f>
        <v>0</v>
      </c>
      <c r="D39" s="461">
        <f t="shared" si="16"/>
        <v>0</v>
      </c>
      <c r="E39" s="461">
        <f t="shared" si="16"/>
        <v>0</v>
      </c>
      <c r="F39" s="461">
        <f t="shared" si="16"/>
        <v>623.1</v>
      </c>
      <c r="G39" s="461">
        <f t="shared" si="16"/>
        <v>0</v>
      </c>
      <c r="H39" s="556">
        <f t="shared" si="11"/>
        <v>623.1</v>
      </c>
      <c r="I39" s="475">
        <f>I34+I35+I36+I37+I38</f>
        <v>0</v>
      </c>
      <c r="J39" s="473">
        <f>J34+J35+J36+J37+J38</f>
        <v>0</v>
      </c>
      <c r="K39" s="473">
        <f t="shared" si="16"/>
        <v>0</v>
      </c>
      <c r="L39" s="473">
        <f t="shared" si="16"/>
        <v>0</v>
      </c>
      <c r="M39" s="473">
        <f t="shared" si="16"/>
        <v>0</v>
      </c>
      <c r="N39" s="473">
        <f t="shared" si="16"/>
        <v>0</v>
      </c>
      <c r="O39" s="473">
        <f t="shared" si="16"/>
        <v>0</v>
      </c>
      <c r="P39" s="473">
        <f t="shared" si="16"/>
        <v>0</v>
      </c>
      <c r="Q39" s="473">
        <f t="shared" si="16"/>
        <v>0</v>
      </c>
      <c r="R39" s="473">
        <f t="shared" si="16"/>
        <v>0</v>
      </c>
      <c r="S39" s="473">
        <f t="shared" si="16"/>
        <v>0</v>
      </c>
      <c r="T39" s="473">
        <f t="shared" si="16"/>
        <v>0</v>
      </c>
      <c r="U39" s="473">
        <f t="shared" si="16"/>
        <v>0</v>
      </c>
      <c r="V39" s="473">
        <f t="shared" si="16"/>
        <v>0</v>
      </c>
      <c r="W39" s="473">
        <f t="shared" si="16"/>
        <v>0</v>
      </c>
      <c r="X39" s="473">
        <f t="shared" si="16"/>
        <v>0</v>
      </c>
      <c r="Y39" s="473">
        <f t="shared" si="16"/>
        <v>0</v>
      </c>
      <c r="Z39" s="473">
        <f t="shared" si="16"/>
        <v>0</v>
      </c>
      <c r="AA39" s="473">
        <f t="shared" si="16"/>
        <v>0</v>
      </c>
      <c r="AB39" s="473">
        <f t="shared" si="16"/>
        <v>0</v>
      </c>
      <c r="AC39" s="473">
        <f t="shared" si="16"/>
        <v>110227.9</v>
      </c>
      <c r="AD39" s="473">
        <f t="shared" si="16"/>
        <v>0</v>
      </c>
      <c r="AE39" s="473">
        <f t="shared" si="16"/>
        <v>0</v>
      </c>
      <c r="AF39" s="473">
        <f t="shared" si="16"/>
        <v>0</v>
      </c>
      <c r="AG39" s="473">
        <f t="shared" si="16"/>
        <v>0</v>
      </c>
      <c r="AH39" s="473">
        <f t="shared" si="16"/>
        <v>0</v>
      </c>
      <c r="AI39" s="473">
        <f t="shared" si="16"/>
        <v>110227.9</v>
      </c>
      <c r="AJ39" s="473">
        <f t="shared" si="16"/>
        <v>0</v>
      </c>
      <c r="AK39" s="473">
        <f t="shared" si="16"/>
        <v>0</v>
      </c>
      <c r="AL39" s="473">
        <f t="shared" si="16"/>
        <v>0</v>
      </c>
      <c r="AM39" s="473">
        <f t="shared" si="16"/>
        <v>0</v>
      </c>
      <c r="AN39" s="473">
        <f>SUM(AN33:AN38)</f>
        <v>0</v>
      </c>
      <c r="AO39" s="473">
        <f t="shared" si="16"/>
        <v>0</v>
      </c>
      <c r="AP39" s="473">
        <f t="shared" si="16"/>
        <v>0</v>
      </c>
      <c r="AQ39" s="473">
        <f t="shared" si="16"/>
        <v>0</v>
      </c>
      <c r="AR39" s="473">
        <f t="shared" si="16"/>
        <v>0</v>
      </c>
      <c r="AS39" s="473">
        <f t="shared" si="16"/>
        <v>110227.9</v>
      </c>
      <c r="AT39" s="473">
        <f aca="true" t="shared" si="17" ref="AT39:BW39">AT34+AT35+AT36+AT37+AT38</f>
        <v>0</v>
      </c>
      <c r="AU39" s="473">
        <f t="shared" si="17"/>
        <v>0</v>
      </c>
      <c r="AV39" s="473">
        <f t="shared" si="17"/>
        <v>0</v>
      </c>
      <c r="AW39" s="473">
        <f t="shared" si="17"/>
        <v>0</v>
      </c>
      <c r="AX39" s="473">
        <f t="shared" si="17"/>
        <v>0</v>
      </c>
      <c r="AY39" s="473">
        <f t="shared" si="17"/>
        <v>0</v>
      </c>
      <c r="AZ39" s="473">
        <f t="shared" si="17"/>
        <v>0</v>
      </c>
      <c r="BA39" s="473">
        <f t="shared" si="17"/>
        <v>0</v>
      </c>
      <c r="BB39" s="473">
        <f t="shared" si="17"/>
        <v>0</v>
      </c>
      <c r="BC39" s="473">
        <f t="shared" si="17"/>
        <v>0</v>
      </c>
      <c r="BD39" s="473">
        <f t="shared" si="17"/>
        <v>0</v>
      </c>
      <c r="BE39" s="473">
        <f t="shared" si="17"/>
        <v>0</v>
      </c>
      <c r="BF39" s="473">
        <f t="shared" si="17"/>
        <v>0</v>
      </c>
      <c r="BG39" s="473">
        <f t="shared" si="17"/>
        <v>0</v>
      </c>
      <c r="BH39" s="473">
        <f t="shared" si="17"/>
        <v>0</v>
      </c>
      <c r="BI39" s="473">
        <f t="shared" si="17"/>
        <v>0</v>
      </c>
      <c r="BJ39" s="473">
        <f t="shared" si="17"/>
        <v>0</v>
      </c>
      <c r="BK39" s="473">
        <f t="shared" si="17"/>
        <v>0</v>
      </c>
      <c r="BL39" s="473">
        <f t="shared" si="17"/>
        <v>0</v>
      </c>
      <c r="BM39" s="473">
        <f t="shared" si="17"/>
        <v>0</v>
      </c>
      <c r="BN39" s="473">
        <f t="shared" si="17"/>
        <v>-672.8000000000062</v>
      </c>
      <c r="BO39" s="473">
        <f t="shared" si="17"/>
        <v>0</v>
      </c>
      <c r="BP39" s="473">
        <f t="shared" si="17"/>
        <v>0</v>
      </c>
      <c r="BQ39" s="473">
        <f t="shared" si="17"/>
        <v>0</v>
      </c>
      <c r="BR39" s="476">
        <f t="shared" si="17"/>
        <v>0</v>
      </c>
      <c r="BS39" s="474">
        <f t="shared" si="17"/>
        <v>-672.8000000000062</v>
      </c>
      <c r="BT39" s="477">
        <f t="shared" si="17"/>
        <v>0</v>
      </c>
      <c r="BU39" s="478">
        <f t="shared" si="17"/>
        <v>0</v>
      </c>
      <c r="BV39" s="478">
        <f t="shared" si="17"/>
        <v>0</v>
      </c>
      <c r="BW39" s="478">
        <f t="shared" si="17"/>
        <v>0</v>
      </c>
      <c r="BX39" s="478">
        <f>BX34+BX35+BX36+BX37+BX38</f>
        <v>0</v>
      </c>
      <c r="BY39" s="478">
        <f>BY34+BY35+BY36+BY37+BY38</f>
        <v>0</v>
      </c>
      <c r="BZ39" s="479">
        <f>BZ34+BZ35+BZ36+BZ37+BZ38</f>
        <v>0</v>
      </c>
      <c r="CA39" s="480">
        <f>CA34+CA35+CA36+CA37+CA38</f>
        <v>0</v>
      </c>
      <c r="CB39" s="474">
        <f>CB34+CB35+CB36+CB37+CB38</f>
        <v>-672.8000000000062</v>
      </c>
      <c r="CC39" s="481">
        <f>SUM(CC34:CC38)</f>
        <v>0</v>
      </c>
      <c r="CD39" s="482">
        <f>SUM(CD34:CD38)</f>
        <v>0</v>
      </c>
      <c r="CE39" s="482">
        <f>SUM(CE34:CE38)</f>
        <v>0</v>
      </c>
      <c r="CF39" s="466">
        <f>SUM(CF34:CF38)</f>
        <v>110227.9</v>
      </c>
      <c r="CG39" s="217"/>
    </row>
    <row r="40" spans="1:85" s="7" customFormat="1" ht="15" customHeight="1">
      <c r="A40" s="284" t="s">
        <v>222</v>
      </c>
      <c r="B40" s="459"/>
      <c r="C40" s="190"/>
      <c r="D40" s="190"/>
      <c r="E40" s="190"/>
      <c r="F40" s="560">
        <f>'hoaki past18'!F23</f>
        <v>18.7</v>
      </c>
      <c r="G40" s="190"/>
      <c r="H40" s="552">
        <f t="shared" si="11"/>
        <v>18.7</v>
      </c>
      <c r="I40" s="206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>
        <f>'hoaki past18'!I23</f>
        <v>18677.399999999998</v>
      </c>
      <c r="AD40" s="190"/>
      <c r="AE40" s="190"/>
      <c r="AF40" s="190"/>
      <c r="AG40" s="191"/>
      <c r="AH40" s="190"/>
      <c r="AI40" s="225">
        <f>I40+J40+K40+L40+M40+N40+O40+P40+Q40+R40+S40+T40+U40+V40+W40+X40+Y40+Z40+AA40+AB40+AC40+AD40+AE40+AF40+AG40</f>
        <v>18677.399999999998</v>
      </c>
      <c r="AJ40" s="225"/>
      <c r="AK40" s="190"/>
      <c r="AL40" s="190"/>
      <c r="AM40" s="190"/>
      <c r="AN40" s="190"/>
      <c r="AO40" s="190"/>
      <c r="AP40" s="190"/>
      <c r="AQ40" s="190"/>
      <c r="AR40" s="28">
        <f t="shared" si="1"/>
        <v>0</v>
      </c>
      <c r="AS40" s="28">
        <f t="shared" si="2"/>
        <v>18677.399999999998</v>
      </c>
      <c r="AT40" s="28">
        <f>I40-'2018dram'!B40</f>
        <v>0</v>
      </c>
      <c r="AU40" s="28">
        <f>J40-'2018dram'!C40</f>
        <v>0</v>
      </c>
      <c r="AV40" s="28">
        <f>K40-'2018dram'!D40-B40</f>
        <v>0</v>
      </c>
      <c r="AW40" s="28">
        <f>L40-'2018dram'!E40-C40</f>
        <v>0</v>
      </c>
      <c r="AX40" s="28">
        <f>M40-'2018dram'!F40-D40</f>
        <v>0</v>
      </c>
      <c r="AY40" s="28">
        <f>N40-'2018dram'!G40</f>
        <v>0</v>
      </c>
      <c r="AZ40" s="28">
        <f>O40-'2018dram'!H40</f>
        <v>0</v>
      </c>
      <c r="BA40" s="28">
        <f>P40-'2018dram'!I40</f>
        <v>0</v>
      </c>
      <c r="BB40" s="28">
        <f>Q40-'2018dram'!J40</f>
        <v>0</v>
      </c>
      <c r="BC40" s="28">
        <f>R40-'2018dram'!K40</f>
        <v>0</v>
      </c>
      <c r="BD40" s="28">
        <f>S40-'2018dram'!L40</f>
        <v>0</v>
      </c>
      <c r="BE40" s="28">
        <f>T40-'2018dram'!M40</f>
        <v>0</v>
      </c>
      <c r="BF40" s="28">
        <f>U40-'2018dram'!N40</f>
        <v>0</v>
      </c>
      <c r="BG40" s="28">
        <f>V40-'2018dram'!O40</f>
        <v>0</v>
      </c>
      <c r="BH40" s="28">
        <f>W40-'2018dram'!P40</f>
        <v>0</v>
      </c>
      <c r="BI40" s="28">
        <f>X40-'2018dram'!Q40</f>
        <v>0</v>
      </c>
      <c r="BJ40" s="28">
        <f>Y40-'2018dram'!R40</f>
        <v>0</v>
      </c>
      <c r="BK40" s="28">
        <f>Z40-'2018dram'!S40</f>
        <v>0</v>
      </c>
      <c r="BL40" s="28">
        <f>AA40-'2018dram'!T40</f>
        <v>0</v>
      </c>
      <c r="BM40" s="28">
        <f>AB40-'2018dram'!U40</f>
        <v>0</v>
      </c>
      <c r="BN40" s="28">
        <f>AC40-'2018dram'!V40-F40</f>
        <v>-3.900000000000727</v>
      </c>
      <c r="BO40" s="28"/>
      <c r="BP40" s="28"/>
      <c r="BQ40" s="28"/>
      <c r="BR40" s="226"/>
      <c r="BS40" s="227">
        <f t="shared" si="7"/>
        <v>-3.900000000000727</v>
      </c>
      <c r="BT40" s="468"/>
      <c r="BU40" s="207"/>
      <c r="BV40" s="207"/>
      <c r="BW40" s="207"/>
      <c r="BX40" s="207"/>
      <c r="BY40" s="207"/>
      <c r="BZ40" s="208"/>
      <c r="CA40" s="183"/>
      <c r="CB40" s="229">
        <f t="shared" si="4"/>
        <v>-3.900000000000727</v>
      </c>
      <c r="CC40" s="196"/>
      <c r="CD40" s="197"/>
      <c r="CE40" s="198">
        <f t="shared" si="5"/>
        <v>0</v>
      </c>
      <c r="CF40" s="139">
        <f t="shared" si="6"/>
        <v>18677.399999999998</v>
      </c>
      <c r="CG40" s="209"/>
    </row>
    <row r="41" spans="1:85" s="7" customFormat="1" ht="15" customHeight="1">
      <c r="A41" s="304" t="s">
        <v>203</v>
      </c>
      <c r="B41" s="194"/>
      <c r="C41" s="186"/>
      <c r="D41" s="186"/>
      <c r="E41" s="190"/>
      <c r="F41" s="560">
        <f>'hoaki past18'!F24</f>
        <v>9.1</v>
      </c>
      <c r="G41" s="190"/>
      <c r="H41" s="552">
        <f t="shared" si="11"/>
        <v>9.1</v>
      </c>
      <c r="I41" s="210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90">
        <f>'hoaki past18'!I24</f>
        <v>12639</v>
      </c>
      <c r="AD41" s="186"/>
      <c r="AE41" s="186"/>
      <c r="AF41" s="186"/>
      <c r="AG41" s="187"/>
      <c r="AH41" s="190"/>
      <c r="AI41" s="225">
        <f>I41+J41+K41+L41+M41+N41+O41+P41+Q41+R41+S41+T41+U41+V41+W41+X41+Y41+Z41+AA41+AB41+AC41+AD41+AE41+AF41+AG41</f>
        <v>12639</v>
      </c>
      <c r="AJ41" s="225"/>
      <c r="AK41" s="186"/>
      <c r="AL41" s="186"/>
      <c r="AM41" s="186"/>
      <c r="AN41" s="186"/>
      <c r="AO41" s="186"/>
      <c r="AP41" s="186"/>
      <c r="AQ41" s="186"/>
      <c r="AR41" s="28">
        <f t="shared" si="1"/>
        <v>0</v>
      </c>
      <c r="AS41" s="28">
        <f t="shared" si="2"/>
        <v>12639</v>
      </c>
      <c r="AT41" s="28">
        <f>I41-'2018dram'!B41</f>
        <v>0</v>
      </c>
      <c r="AU41" s="28">
        <f>J41-'2018dram'!C41</f>
        <v>0</v>
      </c>
      <c r="AV41" s="28">
        <f>K41-'2018dram'!D41-B41</f>
        <v>0</v>
      </c>
      <c r="AW41" s="28">
        <f>L41-'2018dram'!E41-C41</f>
        <v>0</v>
      </c>
      <c r="AX41" s="28">
        <f>M41-'2018dram'!F41-D41</f>
        <v>0</v>
      </c>
      <c r="AY41" s="28">
        <f>N41-'2018dram'!G41</f>
        <v>0</v>
      </c>
      <c r="AZ41" s="28">
        <f>O41-'2018dram'!H41</f>
        <v>0</v>
      </c>
      <c r="BA41" s="28">
        <f>P41-'2018dram'!I41</f>
        <v>0</v>
      </c>
      <c r="BB41" s="28">
        <f>Q41-'2018dram'!J41</f>
        <v>0</v>
      </c>
      <c r="BC41" s="28">
        <f>R41-'2018dram'!K41</f>
        <v>0</v>
      </c>
      <c r="BD41" s="28">
        <f>S41-'2018dram'!L41</f>
        <v>0</v>
      </c>
      <c r="BE41" s="28">
        <f>T41-'2018dram'!M41</f>
        <v>0</v>
      </c>
      <c r="BF41" s="28">
        <f>U41-'2018dram'!N41</f>
        <v>0</v>
      </c>
      <c r="BG41" s="28">
        <f>V41-'2018dram'!O41</f>
        <v>0</v>
      </c>
      <c r="BH41" s="28">
        <f>W41-'2018dram'!P41</f>
        <v>0</v>
      </c>
      <c r="BI41" s="28">
        <f>X41-'2018dram'!Q41</f>
        <v>0</v>
      </c>
      <c r="BJ41" s="28">
        <f>Y41-'2018dram'!R41</f>
        <v>0</v>
      </c>
      <c r="BK41" s="28">
        <f>Z41-'2018dram'!S41</f>
        <v>0</v>
      </c>
      <c r="BL41" s="28">
        <f>AA41-'2018dram'!T41</f>
        <v>0</v>
      </c>
      <c r="BM41" s="28">
        <f>AB41-'2018dram'!U41</f>
        <v>0</v>
      </c>
      <c r="BN41" s="28">
        <f>AC41-'2018dram'!V41-F41</f>
        <v>-38.899999999999274</v>
      </c>
      <c r="BO41" s="28"/>
      <c r="BP41" s="28"/>
      <c r="BQ41" s="28"/>
      <c r="BR41" s="226"/>
      <c r="BS41" s="227">
        <f t="shared" si="7"/>
        <v>-38.899999999999274</v>
      </c>
      <c r="BT41" s="468"/>
      <c r="BU41" s="207"/>
      <c r="BV41" s="207"/>
      <c r="BW41" s="207"/>
      <c r="BX41" s="207"/>
      <c r="BY41" s="207"/>
      <c r="BZ41" s="208"/>
      <c r="CA41" s="183"/>
      <c r="CB41" s="229">
        <f t="shared" si="4"/>
        <v>-38.899999999999274</v>
      </c>
      <c r="CC41" s="199"/>
      <c r="CD41" s="200"/>
      <c r="CE41" s="189">
        <f t="shared" si="5"/>
        <v>0</v>
      </c>
      <c r="CF41" s="139">
        <f t="shared" si="6"/>
        <v>12639</v>
      </c>
      <c r="CG41" s="209"/>
    </row>
    <row r="42" spans="1:85" s="7" customFormat="1" ht="15" customHeight="1">
      <c r="A42" s="304" t="s">
        <v>204</v>
      </c>
      <c r="B42" s="194"/>
      <c r="C42" s="186"/>
      <c r="D42" s="186"/>
      <c r="E42" s="190"/>
      <c r="F42" s="560">
        <f>'hoaki past18'!F25</f>
        <v>15</v>
      </c>
      <c r="G42" s="190"/>
      <c r="H42" s="552">
        <f t="shared" si="11"/>
        <v>15</v>
      </c>
      <c r="I42" s="210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90">
        <f>'hoaki past18'!I25</f>
        <v>21628.199999999997</v>
      </c>
      <c r="AD42" s="186"/>
      <c r="AE42" s="186"/>
      <c r="AF42" s="186"/>
      <c r="AG42" s="187"/>
      <c r="AH42" s="190"/>
      <c r="AI42" s="225">
        <f>I42+J42+K42+L42+M42+N42+O42+P42+Q42+R42+S42+T42+U42+V42+W42+X42+Y42+Z42+AA42+AB42+AC42+AD42+AE42+AF42+AG42</f>
        <v>21628.199999999997</v>
      </c>
      <c r="AJ42" s="225"/>
      <c r="AK42" s="186"/>
      <c r="AL42" s="186"/>
      <c r="AM42" s="186"/>
      <c r="AN42" s="186"/>
      <c r="AO42" s="186"/>
      <c r="AP42" s="186"/>
      <c r="AQ42" s="186"/>
      <c r="AR42" s="28">
        <f t="shared" si="1"/>
        <v>0</v>
      </c>
      <c r="AS42" s="28">
        <f t="shared" si="2"/>
        <v>21628.199999999997</v>
      </c>
      <c r="AT42" s="28">
        <f>I42-'2018dram'!B42</f>
        <v>0</v>
      </c>
      <c r="AU42" s="28">
        <f>J42-'2018dram'!C42</f>
        <v>0</v>
      </c>
      <c r="AV42" s="28">
        <f>K42-'2018dram'!D42-B42</f>
        <v>0</v>
      </c>
      <c r="AW42" s="28">
        <f>L42-'2018dram'!E42-C42</f>
        <v>0</v>
      </c>
      <c r="AX42" s="28">
        <f>M42-'2018dram'!F42-D42</f>
        <v>0</v>
      </c>
      <c r="AY42" s="28">
        <f>N42-'2018dram'!G42</f>
        <v>0</v>
      </c>
      <c r="AZ42" s="28">
        <f>O42-'2018dram'!H42</f>
        <v>0</v>
      </c>
      <c r="BA42" s="28">
        <f>P42-'2018dram'!I42</f>
        <v>0</v>
      </c>
      <c r="BB42" s="28">
        <f>Q42-'2018dram'!J42</f>
        <v>0</v>
      </c>
      <c r="BC42" s="28">
        <f>R42-'2018dram'!K42</f>
        <v>0</v>
      </c>
      <c r="BD42" s="28">
        <f>S42-'2018dram'!L42</f>
        <v>0</v>
      </c>
      <c r="BE42" s="28">
        <f>T42-'2018dram'!M42</f>
        <v>0</v>
      </c>
      <c r="BF42" s="28">
        <f>U42-'2018dram'!N42</f>
        <v>0</v>
      </c>
      <c r="BG42" s="28">
        <f>V42-'2018dram'!O42</f>
        <v>0</v>
      </c>
      <c r="BH42" s="28">
        <f>W42-'2018dram'!P42</f>
        <v>0</v>
      </c>
      <c r="BI42" s="28">
        <f>X42-'2018dram'!Q42</f>
        <v>0</v>
      </c>
      <c r="BJ42" s="28">
        <f>Y42-'2018dram'!R42</f>
        <v>0</v>
      </c>
      <c r="BK42" s="28">
        <f>Z42-'2018dram'!S42</f>
        <v>0</v>
      </c>
      <c r="BL42" s="28">
        <f>AA42-'2018dram'!T42</f>
        <v>0</v>
      </c>
      <c r="BM42" s="28">
        <f>AB42-'2018dram'!U42</f>
        <v>0</v>
      </c>
      <c r="BN42" s="28">
        <f>AC42-'2018dram'!V42-F42</f>
        <v>-6.200000000004366</v>
      </c>
      <c r="BO42" s="28"/>
      <c r="BP42" s="28"/>
      <c r="BQ42" s="28"/>
      <c r="BR42" s="226"/>
      <c r="BS42" s="227">
        <f t="shared" si="7"/>
        <v>-6.200000000004366</v>
      </c>
      <c r="BT42" s="468"/>
      <c r="BU42" s="207"/>
      <c r="BV42" s="207"/>
      <c r="BW42" s="207"/>
      <c r="BX42" s="207"/>
      <c r="BY42" s="207"/>
      <c r="BZ42" s="208"/>
      <c r="CA42" s="183"/>
      <c r="CB42" s="229">
        <f t="shared" si="4"/>
        <v>-6.200000000004366</v>
      </c>
      <c r="CC42" s="199"/>
      <c r="CD42" s="200"/>
      <c r="CE42" s="189">
        <f t="shared" si="5"/>
        <v>0</v>
      </c>
      <c r="CF42" s="139">
        <f t="shared" si="6"/>
        <v>21628.199999999997</v>
      </c>
      <c r="CG42" s="209"/>
    </row>
    <row r="43" spans="1:85" s="7" customFormat="1" ht="15" customHeight="1">
      <c r="A43" s="304" t="s">
        <v>205</v>
      </c>
      <c r="B43" s="194"/>
      <c r="C43" s="186"/>
      <c r="D43" s="186"/>
      <c r="E43" s="190"/>
      <c r="F43" s="560">
        <f>'hoaki past18'!F26</f>
        <v>0</v>
      </c>
      <c r="G43" s="190"/>
      <c r="H43" s="552">
        <f t="shared" si="11"/>
        <v>0</v>
      </c>
      <c r="I43" s="210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90">
        <f>'hoaki past18'!I26</f>
        <v>18125.5</v>
      </c>
      <c r="AD43" s="186"/>
      <c r="AE43" s="186"/>
      <c r="AF43" s="186"/>
      <c r="AG43" s="187"/>
      <c r="AH43" s="190"/>
      <c r="AI43" s="225">
        <f>I43+J43+K43+L43+M43+N43+O43+P43+Q43+R43+S43+T43+U43+V43+W43+X43+Y43+Z43+AA43+AB43+AC43+AD43+AE43+AF43+AG43</f>
        <v>18125.5</v>
      </c>
      <c r="AJ43" s="225"/>
      <c r="AK43" s="186"/>
      <c r="AL43" s="186"/>
      <c r="AM43" s="186"/>
      <c r="AN43" s="186"/>
      <c r="AO43" s="186"/>
      <c r="AP43" s="186"/>
      <c r="AQ43" s="186"/>
      <c r="AR43" s="28">
        <f t="shared" si="1"/>
        <v>0</v>
      </c>
      <c r="AS43" s="28">
        <f t="shared" si="2"/>
        <v>18125.5</v>
      </c>
      <c r="AT43" s="28">
        <f>I43-'2018dram'!B43</f>
        <v>0</v>
      </c>
      <c r="AU43" s="28">
        <f>J43-'2018dram'!C43</f>
        <v>0</v>
      </c>
      <c r="AV43" s="28">
        <f>K43-'2018dram'!D43-B43</f>
        <v>0</v>
      </c>
      <c r="AW43" s="28">
        <f>L43-'2018dram'!E43-C43</f>
        <v>0</v>
      </c>
      <c r="AX43" s="28">
        <f>M43-'2018dram'!F43-D43</f>
        <v>0</v>
      </c>
      <c r="AY43" s="28">
        <f>N43-'2018dram'!G43</f>
        <v>0</v>
      </c>
      <c r="AZ43" s="28">
        <f>O43-'2018dram'!H43</f>
        <v>0</v>
      </c>
      <c r="BA43" s="28">
        <f>P43-'2018dram'!I43</f>
        <v>0</v>
      </c>
      <c r="BB43" s="28">
        <f>Q43-'2018dram'!J43</f>
        <v>0</v>
      </c>
      <c r="BC43" s="28">
        <f>R43-'2018dram'!K43</f>
        <v>0</v>
      </c>
      <c r="BD43" s="28">
        <f>S43-'2018dram'!L43</f>
        <v>0</v>
      </c>
      <c r="BE43" s="28">
        <f>T43-'2018dram'!M43</f>
        <v>0</v>
      </c>
      <c r="BF43" s="28">
        <f>U43-'2018dram'!N43</f>
        <v>0</v>
      </c>
      <c r="BG43" s="28">
        <f>V43-'2018dram'!O43</f>
        <v>0</v>
      </c>
      <c r="BH43" s="28">
        <f>W43-'2018dram'!P43</f>
        <v>0</v>
      </c>
      <c r="BI43" s="28">
        <f>X43-'2018dram'!Q43</f>
        <v>0</v>
      </c>
      <c r="BJ43" s="28">
        <f>Y43-'2018dram'!R43</f>
        <v>0</v>
      </c>
      <c r="BK43" s="28">
        <f>Z43-'2018dram'!S43</f>
        <v>0</v>
      </c>
      <c r="BL43" s="28">
        <f>AA43-'2018dram'!T43</f>
        <v>0</v>
      </c>
      <c r="BM43" s="28">
        <f>AB43-'2018dram'!U43</f>
        <v>0</v>
      </c>
      <c r="BN43" s="28">
        <f>AC43-'2018dram'!V43-F43</f>
        <v>-0.5</v>
      </c>
      <c r="BO43" s="28"/>
      <c r="BP43" s="28"/>
      <c r="BQ43" s="28"/>
      <c r="BR43" s="226"/>
      <c r="BS43" s="227">
        <f t="shared" si="7"/>
        <v>-0.5</v>
      </c>
      <c r="BT43" s="468"/>
      <c r="BU43" s="207"/>
      <c r="BV43" s="207"/>
      <c r="BW43" s="207"/>
      <c r="BX43" s="207"/>
      <c r="BY43" s="207"/>
      <c r="BZ43" s="208"/>
      <c r="CA43" s="183"/>
      <c r="CB43" s="229">
        <f t="shared" si="4"/>
        <v>-0.5</v>
      </c>
      <c r="CC43" s="199"/>
      <c r="CD43" s="200"/>
      <c r="CE43" s="189">
        <f t="shared" si="5"/>
        <v>0</v>
      </c>
      <c r="CF43" s="139">
        <f t="shared" si="6"/>
        <v>18125.5</v>
      </c>
      <c r="CG43" s="209"/>
    </row>
    <row r="44" spans="1:85" s="7" customFormat="1" ht="15" customHeight="1" thickBot="1">
      <c r="A44" s="304" t="s">
        <v>110</v>
      </c>
      <c r="B44" s="561"/>
      <c r="C44" s="192"/>
      <c r="D44" s="192"/>
      <c r="E44" s="188"/>
      <c r="F44" s="560">
        <f>'hoaki past18'!F27</f>
        <v>342.6</v>
      </c>
      <c r="G44" s="188"/>
      <c r="H44" s="552">
        <f>B44+C44+D44+F44+G44</f>
        <v>342.6</v>
      </c>
      <c r="I44" s="211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0">
        <f>'hoaki past18'!I27</f>
        <v>26017.199999999997</v>
      </c>
      <c r="AD44" s="192"/>
      <c r="AE44" s="192"/>
      <c r="AF44" s="192"/>
      <c r="AG44" s="193"/>
      <c r="AH44" s="188"/>
      <c r="AI44" s="225">
        <f>I44+J44+K44+L44+M44+N44+O44+P44+Q44+R44+S44+T44+U44+V44+W44+X44+Y44+Z44+AA44+AB44+AC44+AD44+AE44+AF44+AG44</f>
        <v>26017.199999999997</v>
      </c>
      <c r="AJ44" s="460"/>
      <c r="AK44" s="192"/>
      <c r="AL44" s="192"/>
      <c r="AM44" s="192"/>
      <c r="AN44" s="192"/>
      <c r="AO44" s="192"/>
      <c r="AP44" s="192"/>
      <c r="AQ44" s="192"/>
      <c r="AR44" s="28">
        <f t="shared" si="1"/>
        <v>0</v>
      </c>
      <c r="AS44" s="28">
        <f t="shared" si="2"/>
        <v>26017.199999999997</v>
      </c>
      <c r="AT44" s="28">
        <f>I44-'2018dram'!B44</f>
        <v>0</v>
      </c>
      <c r="AU44" s="28">
        <f>J44-'2018dram'!C44</f>
        <v>0</v>
      </c>
      <c r="AV44" s="28">
        <f>K44-'2018dram'!D44-B44</f>
        <v>0</v>
      </c>
      <c r="AW44" s="28">
        <f>L44-'2018dram'!E44-C44</f>
        <v>0</v>
      </c>
      <c r="AX44" s="28">
        <f>M44-'2018dram'!F44-D44</f>
        <v>0</v>
      </c>
      <c r="AY44" s="28">
        <f>N44-'2018dram'!G44</f>
        <v>0</v>
      </c>
      <c r="AZ44" s="28">
        <f>O44-'2018dram'!H44</f>
        <v>0</v>
      </c>
      <c r="BA44" s="28">
        <f>P44-'2018dram'!I44</f>
        <v>0</v>
      </c>
      <c r="BB44" s="28">
        <f>Q44-'2018dram'!J44</f>
        <v>0</v>
      </c>
      <c r="BC44" s="28">
        <f>R44-'2018dram'!K44</f>
        <v>0</v>
      </c>
      <c r="BD44" s="28">
        <f>S44-'2018dram'!L44</f>
        <v>0</v>
      </c>
      <c r="BE44" s="28">
        <f>T44-'2018dram'!M44</f>
        <v>0</v>
      </c>
      <c r="BF44" s="28">
        <f>U44-'2018dram'!N44</f>
        <v>0</v>
      </c>
      <c r="BG44" s="28">
        <f>V44-'2018dram'!O44</f>
        <v>0</v>
      </c>
      <c r="BH44" s="28">
        <f>W44-'2018dram'!P44</f>
        <v>0</v>
      </c>
      <c r="BI44" s="28">
        <f>X44-'2018dram'!Q44</f>
        <v>0</v>
      </c>
      <c r="BJ44" s="28">
        <f>Y44-'2018dram'!R44</f>
        <v>0</v>
      </c>
      <c r="BK44" s="28">
        <f>Z44-'2018dram'!S44</f>
        <v>0</v>
      </c>
      <c r="BL44" s="28">
        <f>AA44-'2018dram'!T44</f>
        <v>0</v>
      </c>
      <c r="BM44" s="28">
        <f>AB44-'2018dram'!U44</f>
        <v>0</v>
      </c>
      <c r="BN44" s="28">
        <f>AC44-'2018dram'!V44-F44</f>
        <v>-466.3000000000044</v>
      </c>
      <c r="BO44" s="28"/>
      <c r="BP44" s="28"/>
      <c r="BQ44" s="28"/>
      <c r="BR44" s="226"/>
      <c r="BS44" s="227">
        <f t="shared" si="7"/>
        <v>-466.3000000000044</v>
      </c>
      <c r="BT44" s="468"/>
      <c r="BU44" s="212"/>
      <c r="BV44" s="212"/>
      <c r="BW44" s="212"/>
      <c r="BX44" s="212"/>
      <c r="BY44" s="212"/>
      <c r="BZ44" s="213"/>
      <c r="CA44" s="183"/>
      <c r="CB44" s="229">
        <f t="shared" si="4"/>
        <v>-466.3000000000044</v>
      </c>
      <c r="CC44" s="199"/>
      <c r="CD44" s="200"/>
      <c r="CE44" s="189">
        <f t="shared" si="5"/>
        <v>0</v>
      </c>
      <c r="CF44" s="139">
        <f t="shared" si="6"/>
        <v>26017.199999999997</v>
      </c>
      <c r="CG44" s="209"/>
    </row>
    <row r="45" spans="1:85" s="181" customFormat="1" ht="24.75" customHeight="1" thickBot="1">
      <c r="A45" s="299" t="s">
        <v>140</v>
      </c>
      <c r="B45" s="483">
        <f>B33+B39+B40+B41+B42+B43+B44</f>
        <v>0</v>
      </c>
      <c r="C45" s="483">
        <f aca="true" t="shared" si="18" ref="C45:CB45">C33+C39+C40+C41+C42+C43+C44</f>
        <v>0</v>
      </c>
      <c r="D45" s="483">
        <f t="shared" si="18"/>
        <v>0</v>
      </c>
      <c r="E45" s="483">
        <f>E33+E39+E40+E41+E42+E43+E44</f>
        <v>0</v>
      </c>
      <c r="F45" s="483">
        <f>F33+F39+F40+F41+F42+F43+F44</f>
        <v>1688.1999999999998</v>
      </c>
      <c r="G45" s="483">
        <f t="shared" si="18"/>
        <v>0</v>
      </c>
      <c r="H45" s="557">
        <f t="shared" si="18"/>
        <v>1688.1999999999998</v>
      </c>
      <c r="I45" s="485">
        <f t="shared" si="18"/>
        <v>0</v>
      </c>
      <c r="J45" s="483">
        <f t="shared" si="18"/>
        <v>0</v>
      </c>
      <c r="K45" s="483">
        <f t="shared" si="18"/>
        <v>0</v>
      </c>
      <c r="L45" s="483">
        <f t="shared" si="18"/>
        <v>0</v>
      </c>
      <c r="M45" s="483">
        <f t="shared" si="18"/>
        <v>0</v>
      </c>
      <c r="N45" s="483">
        <f t="shared" si="18"/>
        <v>0</v>
      </c>
      <c r="O45" s="483">
        <f t="shared" si="18"/>
        <v>0</v>
      </c>
      <c r="P45" s="483">
        <f t="shared" si="18"/>
        <v>0</v>
      </c>
      <c r="Q45" s="483">
        <f t="shared" si="18"/>
        <v>0</v>
      </c>
      <c r="R45" s="483">
        <f t="shared" si="18"/>
        <v>0</v>
      </c>
      <c r="S45" s="483">
        <f t="shared" si="18"/>
        <v>0</v>
      </c>
      <c r="T45" s="483">
        <f t="shared" si="18"/>
        <v>0</v>
      </c>
      <c r="U45" s="483">
        <f t="shared" si="18"/>
        <v>0</v>
      </c>
      <c r="V45" s="483">
        <f t="shared" si="18"/>
        <v>0</v>
      </c>
      <c r="W45" s="483">
        <f t="shared" si="18"/>
        <v>0</v>
      </c>
      <c r="X45" s="483">
        <f t="shared" si="18"/>
        <v>0</v>
      </c>
      <c r="Y45" s="483">
        <f t="shared" si="18"/>
        <v>0</v>
      </c>
      <c r="Z45" s="483">
        <f t="shared" si="18"/>
        <v>0</v>
      </c>
      <c r="AA45" s="483">
        <f t="shared" si="18"/>
        <v>0</v>
      </c>
      <c r="AB45" s="483">
        <f t="shared" si="18"/>
        <v>0</v>
      </c>
      <c r="AC45" s="483">
        <f t="shared" si="18"/>
        <v>495325.6</v>
      </c>
      <c r="AD45" s="483">
        <f t="shared" si="18"/>
        <v>0</v>
      </c>
      <c r="AE45" s="483">
        <f t="shared" si="18"/>
        <v>0</v>
      </c>
      <c r="AF45" s="483">
        <f t="shared" si="18"/>
        <v>0</v>
      </c>
      <c r="AG45" s="483">
        <f aca="true" t="shared" si="19" ref="AG45:AL45">AG33+AG39+AG40+AG41+AG42+AG43+AG44</f>
        <v>0</v>
      </c>
      <c r="AH45" s="483">
        <f t="shared" si="19"/>
        <v>0</v>
      </c>
      <c r="AI45" s="483">
        <f t="shared" si="19"/>
        <v>495325.6</v>
      </c>
      <c r="AJ45" s="483">
        <f t="shared" si="19"/>
        <v>0</v>
      </c>
      <c r="AK45" s="483">
        <f t="shared" si="19"/>
        <v>0</v>
      </c>
      <c r="AL45" s="483">
        <f t="shared" si="19"/>
        <v>0</v>
      </c>
      <c r="AM45" s="483">
        <f t="shared" si="18"/>
        <v>0</v>
      </c>
      <c r="AN45" s="483">
        <f t="shared" si="18"/>
        <v>0</v>
      </c>
      <c r="AO45" s="483">
        <f t="shared" si="18"/>
        <v>0</v>
      </c>
      <c r="AP45" s="483">
        <f t="shared" si="18"/>
        <v>0</v>
      </c>
      <c r="AQ45" s="483">
        <f t="shared" si="18"/>
        <v>0</v>
      </c>
      <c r="AR45" s="483">
        <f t="shared" si="18"/>
        <v>0</v>
      </c>
      <c r="AS45" s="483">
        <f t="shared" si="18"/>
        <v>495325.6</v>
      </c>
      <c r="AT45" s="483">
        <f t="shared" si="18"/>
        <v>0</v>
      </c>
      <c r="AU45" s="483">
        <f t="shared" si="18"/>
        <v>0</v>
      </c>
      <c r="AV45" s="483">
        <f t="shared" si="18"/>
        <v>0</v>
      </c>
      <c r="AW45" s="483">
        <f t="shared" si="18"/>
        <v>0</v>
      </c>
      <c r="AX45" s="483">
        <f t="shared" si="18"/>
        <v>0</v>
      </c>
      <c r="AY45" s="483">
        <f t="shared" si="18"/>
        <v>0</v>
      </c>
      <c r="AZ45" s="483">
        <f t="shared" si="18"/>
        <v>0</v>
      </c>
      <c r="BA45" s="483">
        <f t="shared" si="18"/>
        <v>0</v>
      </c>
      <c r="BB45" s="483">
        <f t="shared" si="18"/>
        <v>0</v>
      </c>
      <c r="BC45" s="483">
        <f t="shared" si="18"/>
        <v>0</v>
      </c>
      <c r="BD45" s="483">
        <f t="shared" si="18"/>
        <v>0</v>
      </c>
      <c r="BE45" s="483">
        <f t="shared" si="18"/>
        <v>0</v>
      </c>
      <c r="BF45" s="483">
        <f t="shared" si="18"/>
        <v>0</v>
      </c>
      <c r="BG45" s="483">
        <f t="shared" si="18"/>
        <v>0</v>
      </c>
      <c r="BH45" s="483">
        <f t="shared" si="18"/>
        <v>0</v>
      </c>
      <c r="BI45" s="483">
        <f t="shared" si="18"/>
        <v>0</v>
      </c>
      <c r="BJ45" s="483">
        <f t="shared" si="18"/>
        <v>0</v>
      </c>
      <c r="BK45" s="483">
        <f t="shared" si="18"/>
        <v>0</v>
      </c>
      <c r="BL45" s="483">
        <f t="shared" si="18"/>
        <v>0</v>
      </c>
      <c r="BM45" s="483">
        <f t="shared" si="18"/>
        <v>0</v>
      </c>
      <c r="BN45" s="483">
        <f t="shared" si="18"/>
        <v>-1993.0000000000337</v>
      </c>
      <c r="BO45" s="483">
        <f t="shared" si="18"/>
        <v>0</v>
      </c>
      <c r="BP45" s="483">
        <f t="shared" si="18"/>
        <v>0</v>
      </c>
      <c r="BQ45" s="483">
        <f t="shared" si="18"/>
        <v>0</v>
      </c>
      <c r="BR45" s="486">
        <f t="shared" si="18"/>
        <v>0</v>
      </c>
      <c r="BS45" s="484">
        <f>BS33+BS39+BS40+BS41+BS42+BS43+BS44</f>
        <v>-1993.0000000000337</v>
      </c>
      <c r="BT45" s="487">
        <f>BT33+BT39+BT40+BT41+BT42+BT43+BT44</f>
        <v>0</v>
      </c>
      <c r="BU45" s="488">
        <f>BU33+BU39+BU40+BU41+BU42+BU43+BU44</f>
        <v>0</v>
      </c>
      <c r="BV45" s="488">
        <f>BV33+BV39+BV40+BV41+BV42+BV43+BV44</f>
        <v>0</v>
      </c>
      <c r="BW45" s="488">
        <f t="shared" si="18"/>
        <v>0</v>
      </c>
      <c r="BX45" s="488">
        <f t="shared" si="18"/>
        <v>0</v>
      </c>
      <c r="BY45" s="488">
        <f t="shared" si="18"/>
        <v>0</v>
      </c>
      <c r="BZ45" s="489">
        <f t="shared" si="18"/>
        <v>0</v>
      </c>
      <c r="CA45" s="490">
        <f t="shared" si="18"/>
        <v>0</v>
      </c>
      <c r="CB45" s="484">
        <f t="shared" si="18"/>
        <v>-1993.0000000000337</v>
      </c>
      <c r="CC45" s="491">
        <f>CC33+CC39+CC40+CC41+CC42+CC43+CC44</f>
        <v>0</v>
      </c>
      <c r="CD45" s="492">
        <f>CD33+CD39+CD40+CD41+CD42+CD43+CD44</f>
        <v>0</v>
      </c>
      <c r="CE45" s="492">
        <f>CE33+CE39+CE40+CE41+CE42+CE43+CE44</f>
        <v>0</v>
      </c>
      <c r="CF45" s="493">
        <f>CF33+CF39+CF40+CF41+CF42+CF43+CF44</f>
        <v>495325.6</v>
      </c>
      <c r="CG45" s="218"/>
    </row>
    <row r="46" spans="1:85" s="182" customFormat="1" ht="22.5" customHeight="1" thickBot="1">
      <c r="A46" s="406" t="s">
        <v>20</v>
      </c>
      <c r="B46" s="494">
        <f>B45+B20</f>
        <v>441.8</v>
      </c>
      <c r="C46" s="495">
        <f aca="true" t="shared" si="20" ref="C46:BR46">C45+C20</f>
        <v>10.5</v>
      </c>
      <c r="D46" s="495">
        <f t="shared" si="20"/>
        <v>112.3</v>
      </c>
      <c r="E46" s="495">
        <f>E45+E20</f>
        <v>-1071.6</v>
      </c>
      <c r="F46" s="495">
        <f>F45+F20</f>
        <v>1688.1999999999998</v>
      </c>
      <c r="G46" s="495">
        <f t="shared" si="20"/>
        <v>10478.3</v>
      </c>
      <c r="H46" s="558">
        <f t="shared" si="20"/>
        <v>11659.5</v>
      </c>
      <c r="I46" s="496">
        <f t="shared" si="20"/>
        <v>155592.19999999998</v>
      </c>
      <c r="J46" s="496">
        <f t="shared" si="20"/>
        <v>6133.2</v>
      </c>
      <c r="K46" s="496">
        <f t="shared" si="20"/>
        <v>7206.599999999999</v>
      </c>
      <c r="L46" s="496">
        <f t="shared" si="20"/>
        <v>1448.8000000000002</v>
      </c>
      <c r="M46" s="496">
        <f t="shared" si="20"/>
        <v>3754.4000000000005</v>
      </c>
      <c r="N46" s="496">
        <f t="shared" si="20"/>
        <v>282</v>
      </c>
      <c r="O46" s="496">
        <f t="shared" si="20"/>
        <v>193.6</v>
      </c>
      <c r="P46" s="495">
        <f t="shared" si="20"/>
        <v>0</v>
      </c>
      <c r="Q46" s="495">
        <f t="shared" si="20"/>
        <v>609.6</v>
      </c>
      <c r="R46" s="495">
        <f t="shared" si="20"/>
        <v>173.6</v>
      </c>
      <c r="S46" s="497">
        <f t="shared" si="20"/>
        <v>1190</v>
      </c>
      <c r="T46" s="495">
        <f t="shared" si="20"/>
        <v>6954.400000000001</v>
      </c>
      <c r="U46" s="495">
        <f t="shared" si="20"/>
        <v>4128.4</v>
      </c>
      <c r="V46" s="495">
        <f t="shared" si="20"/>
        <v>17420.4</v>
      </c>
      <c r="W46" s="497">
        <f t="shared" si="20"/>
        <v>221</v>
      </c>
      <c r="X46" s="495">
        <f t="shared" si="20"/>
        <v>3027.5</v>
      </c>
      <c r="Y46" s="495">
        <f t="shared" si="20"/>
        <v>200</v>
      </c>
      <c r="Z46" s="495">
        <f t="shared" si="20"/>
        <v>41073.8</v>
      </c>
      <c r="AA46" s="495">
        <f t="shared" si="20"/>
        <v>2811.9</v>
      </c>
      <c r="AB46" s="495">
        <f t="shared" si="20"/>
        <v>813</v>
      </c>
      <c r="AC46" s="495">
        <f t="shared" si="20"/>
        <v>495325.6</v>
      </c>
      <c r="AD46" s="495">
        <f t="shared" si="20"/>
        <v>0</v>
      </c>
      <c r="AE46" s="495">
        <f t="shared" si="20"/>
        <v>7631.7</v>
      </c>
      <c r="AF46" s="497">
        <f t="shared" si="20"/>
        <v>4970</v>
      </c>
      <c r="AG46" s="495">
        <f aca="true" t="shared" si="21" ref="AG46:AL46">AG45+AG20</f>
        <v>3978.1</v>
      </c>
      <c r="AH46" s="495">
        <f t="shared" si="21"/>
        <v>0</v>
      </c>
      <c r="AI46" s="495">
        <f t="shared" si="21"/>
        <v>765139.8</v>
      </c>
      <c r="AJ46" s="495">
        <f t="shared" si="21"/>
        <v>0</v>
      </c>
      <c r="AK46" s="495">
        <f t="shared" si="21"/>
        <v>14689.1</v>
      </c>
      <c r="AL46" s="495">
        <f t="shared" si="21"/>
        <v>19731.4</v>
      </c>
      <c r="AM46" s="495">
        <f t="shared" si="20"/>
        <v>0</v>
      </c>
      <c r="AN46" s="497">
        <f t="shared" si="20"/>
        <v>4073</v>
      </c>
      <c r="AO46" s="497">
        <f t="shared" si="20"/>
        <v>5221.6</v>
      </c>
      <c r="AP46" s="497">
        <f t="shared" si="20"/>
        <v>560</v>
      </c>
      <c r="AQ46" s="497">
        <f t="shared" si="20"/>
        <v>2000</v>
      </c>
      <c r="AR46" s="495">
        <f t="shared" si="20"/>
        <v>46275.1</v>
      </c>
      <c r="AS46" s="495">
        <f t="shared" si="20"/>
        <v>811414.8999999999</v>
      </c>
      <c r="AT46" s="495">
        <f t="shared" si="20"/>
        <v>-1402.9000000000033</v>
      </c>
      <c r="AU46" s="495">
        <f t="shared" si="20"/>
        <v>0</v>
      </c>
      <c r="AV46" s="495">
        <f t="shared" si="20"/>
        <v>-711.8999999999996</v>
      </c>
      <c r="AW46" s="495">
        <f t="shared" si="20"/>
        <v>-5.300000000000068</v>
      </c>
      <c r="AX46" s="495">
        <f t="shared" si="20"/>
        <v>-26.199999999999804</v>
      </c>
      <c r="AY46" s="495">
        <f t="shared" si="20"/>
        <v>0</v>
      </c>
      <c r="AZ46" s="495">
        <f t="shared" si="20"/>
        <v>0</v>
      </c>
      <c r="BA46" s="495">
        <f t="shared" si="20"/>
        <v>0</v>
      </c>
      <c r="BB46" s="497">
        <f t="shared" si="20"/>
        <v>0</v>
      </c>
      <c r="BC46" s="497">
        <f t="shared" si="20"/>
        <v>0</v>
      </c>
      <c r="BD46" s="497">
        <f t="shared" si="20"/>
        <v>0</v>
      </c>
      <c r="BE46" s="497">
        <f t="shared" si="20"/>
        <v>0</v>
      </c>
      <c r="BF46" s="497">
        <f t="shared" si="20"/>
        <v>0</v>
      </c>
      <c r="BG46" s="498">
        <f t="shared" si="20"/>
        <v>711.8999999999992</v>
      </c>
      <c r="BH46" s="495">
        <f t="shared" si="20"/>
        <v>0</v>
      </c>
      <c r="BI46" s="495">
        <f t="shared" si="20"/>
        <v>0</v>
      </c>
      <c r="BJ46" s="495">
        <f t="shared" si="20"/>
        <v>0</v>
      </c>
      <c r="BK46" s="495">
        <f t="shared" si="20"/>
        <v>0</v>
      </c>
      <c r="BL46" s="495">
        <f t="shared" si="20"/>
        <v>0</v>
      </c>
      <c r="BM46" s="495">
        <f t="shared" si="20"/>
        <v>0</v>
      </c>
      <c r="BN46" s="495">
        <f t="shared" si="20"/>
        <v>-1993.0000000000337</v>
      </c>
      <c r="BO46" s="495">
        <f t="shared" si="20"/>
        <v>0</v>
      </c>
      <c r="BP46" s="495">
        <f t="shared" si="20"/>
        <v>0</v>
      </c>
      <c r="BQ46" s="495">
        <f t="shared" si="20"/>
        <v>0</v>
      </c>
      <c r="BR46" s="499">
        <f t="shared" si="20"/>
        <v>-19.5</v>
      </c>
      <c r="BS46" s="500">
        <f>BS45+BS20</f>
        <v>-3446.900000000037</v>
      </c>
      <c r="BT46" s="496">
        <f>BT45+BT20</f>
        <v>0</v>
      </c>
      <c r="BU46" s="495">
        <f>BU45+BU20</f>
        <v>173.60000000000218</v>
      </c>
      <c r="BV46" s="495">
        <f>BV45+BV20</f>
        <v>258.89999999999964</v>
      </c>
      <c r="BW46" s="495">
        <f aca="true" t="shared" si="22" ref="BW46:CE46">BW45+BW20</f>
        <v>0</v>
      </c>
      <c r="BX46" s="495">
        <f t="shared" si="22"/>
        <v>0</v>
      </c>
      <c r="BY46" s="495">
        <f t="shared" si="22"/>
        <v>0</v>
      </c>
      <c r="BZ46" s="501">
        <f t="shared" si="22"/>
        <v>0</v>
      </c>
      <c r="CA46" s="500">
        <f t="shared" si="22"/>
        <v>432.5000000000018</v>
      </c>
      <c r="CB46" s="500">
        <f t="shared" si="22"/>
        <v>-3014.4000000000356</v>
      </c>
      <c r="CC46" s="502">
        <f t="shared" si="22"/>
        <v>0</v>
      </c>
      <c r="CD46" s="503">
        <f t="shared" si="22"/>
        <v>-6580.4</v>
      </c>
      <c r="CE46" s="503">
        <f t="shared" si="22"/>
        <v>-6580.4</v>
      </c>
      <c r="CF46" s="504">
        <f>CF45+CF20</f>
        <v>804834.5</v>
      </c>
      <c r="CG46" s="219"/>
    </row>
    <row r="47" ht="12.75">
      <c r="A47" s="11" t="s">
        <v>181</v>
      </c>
    </row>
  </sheetData>
  <sheetProtection/>
  <mergeCells count="7">
    <mergeCell ref="CF3:CF4"/>
    <mergeCell ref="AT3:CB3"/>
    <mergeCell ref="A1:O1"/>
    <mergeCell ref="A3:A4"/>
    <mergeCell ref="B3:H3"/>
    <mergeCell ref="I3:AS3"/>
    <mergeCell ref="CC3:CE3"/>
  </mergeCells>
  <printOptions/>
  <pageMargins left="0.7086614173228347" right="0.7086614173228347" top="0.2362204724409449" bottom="0.7480314960629921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workbookViewId="0" topLeftCell="A1">
      <selection activeCell="Q40" sqref="Q40"/>
    </sheetView>
  </sheetViews>
  <sheetFormatPr defaultColWidth="9.140625" defaultRowHeight="12.75"/>
  <cols>
    <col min="1" max="2" width="9.140625" style="69" customWidth="1"/>
    <col min="3" max="3" width="20.140625" style="69" customWidth="1"/>
    <col min="4" max="4" width="0" style="69" hidden="1" customWidth="1"/>
    <col min="5" max="5" width="9.00390625" style="69" customWidth="1"/>
    <col min="6" max="6" width="7.7109375" style="69" hidden="1" customWidth="1"/>
    <col min="7" max="7" width="10.7109375" style="69" hidden="1" customWidth="1"/>
    <col min="8" max="8" width="10.28125" style="69" hidden="1" customWidth="1"/>
    <col min="9" max="9" width="12.57421875" style="69" customWidth="1"/>
    <col min="10" max="11" width="13.140625" style="69" customWidth="1"/>
    <col min="12" max="12" width="13.8515625" style="69" customWidth="1"/>
    <col min="13" max="13" width="13.57421875" style="69" customWidth="1"/>
    <col min="14" max="16384" width="9.140625" style="69" customWidth="1"/>
  </cols>
  <sheetData>
    <row r="1" spans="1:12" ht="15.75" customHeight="1">
      <c r="A1" s="827" t="s">
        <v>22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3" ht="24.75" customHeight="1" thickBot="1">
      <c r="A2" s="793" t="s">
        <v>176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</row>
    <row r="3" spans="1:13" ht="15" customHeight="1" thickBot="1">
      <c r="A3" s="828" t="s">
        <v>23</v>
      </c>
      <c r="B3" s="829"/>
      <c r="C3" s="830"/>
      <c r="D3" s="834" t="s">
        <v>24</v>
      </c>
      <c r="E3" s="71"/>
      <c r="F3" s="797" t="s">
        <v>91</v>
      </c>
      <c r="G3" s="836" t="s">
        <v>25</v>
      </c>
      <c r="H3" s="838" t="s">
        <v>48</v>
      </c>
      <c r="I3" s="843" t="s">
        <v>177</v>
      </c>
      <c r="J3" s="775" t="s">
        <v>231</v>
      </c>
      <c r="K3" s="776"/>
      <c r="L3" s="843" t="s">
        <v>232</v>
      </c>
      <c r="M3" s="808" t="s">
        <v>163</v>
      </c>
    </row>
    <row r="4" spans="1:13" ht="35.25" customHeight="1" thickBot="1">
      <c r="A4" s="831"/>
      <c r="B4" s="832"/>
      <c r="C4" s="833"/>
      <c r="D4" s="835"/>
      <c r="E4" s="72" t="s">
        <v>93</v>
      </c>
      <c r="F4" s="798"/>
      <c r="G4" s="837"/>
      <c r="H4" s="839"/>
      <c r="I4" s="839"/>
      <c r="J4" s="73" t="s">
        <v>94</v>
      </c>
      <c r="K4" s="104" t="s">
        <v>95</v>
      </c>
      <c r="L4" s="844"/>
      <c r="M4" s="809"/>
    </row>
    <row r="5" spans="1:13" s="118" customFormat="1" ht="22.5" customHeight="1">
      <c r="A5" s="845" t="s">
        <v>20</v>
      </c>
      <c r="B5" s="846"/>
      <c r="C5" s="847"/>
      <c r="D5" s="114"/>
      <c r="E5" s="114"/>
      <c r="F5" s="115" t="s">
        <v>92</v>
      </c>
      <c r="G5" s="116" t="e">
        <f>SUM(G7,G34,-#REF!)</f>
        <v>#REF!</v>
      </c>
      <c r="H5" s="117" t="e">
        <f>SUM(H7,H34,-#REF!)</f>
        <v>#REF!</v>
      </c>
      <c r="I5" s="117">
        <f>SUM(I7,I34,I42)</f>
        <v>11659.5</v>
      </c>
      <c r="J5" s="116">
        <f>SUM(J7+J34+J42-J33)</f>
        <v>795629.3999999999</v>
      </c>
      <c r="K5" s="116">
        <f>SUM(K7+K34+K42-K33)</f>
        <v>804274.4999999999</v>
      </c>
      <c r="L5" s="176">
        <f>SUM(L7,L34,)</f>
        <v>-3014.4000000000083</v>
      </c>
      <c r="M5" s="169"/>
    </row>
    <row r="6" spans="1:13" ht="4.5" customHeight="1">
      <c r="A6" s="840"/>
      <c r="B6" s="841"/>
      <c r="C6" s="842"/>
      <c r="D6" s="75"/>
      <c r="E6" s="75"/>
      <c r="F6" s="75"/>
      <c r="G6" s="74"/>
      <c r="H6" s="101"/>
      <c r="I6" s="101"/>
      <c r="J6" s="74"/>
      <c r="K6" s="105"/>
      <c r="L6" s="177"/>
      <c r="M6" s="170"/>
    </row>
    <row r="7" spans="1:13" ht="18.75" customHeight="1">
      <c r="A7" s="802" t="s">
        <v>26</v>
      </c>
      <c r="B7" s="803"/>
      <c r="C7" s="804"/>
      <c r="D7" s="119"/>
      <c r="E7" s="119"/>
      <c r="F7" s="119"/>
      <c r="G7" s="120">
        <f>SUM(G8:G32)</f>
        <v>500867.29999999993</v>
      </c>
      <c r="H7" s="121">
        <f>SUM(H8:H32)</f>
        <v>500867.29999999993</v>
      </c>
      <c r="I7" s="121">
        <f>SUM(I8:I33)</f>
        <v>1181.1999999999998</v>
      </c>
      <c r="J7" s="120">
        <f>SUM(J8:J33)</f>
        <v>767405.4999999999</v>
      </c>
      <c r="K7" s="122">
        <f>SUM(K8:K33)</f>
        <v>765139.7999999999</v>
      </c>
      <c r="L7" s="120">
        <f>SUM(L8:L33)</f>
        <v>-3446.900000000012</v>
      </c>
      <c r="M7" s="170"/>
    </row>
    <row r="8" spans="1:13" ht="15.75" customHeight="1">
      <c r="A8" s="805" t="s">
        <v>27</v>
      </c>
      <c r="B8" s="806"/>
      <c r="C8" s="807"/>
      <c r="D8" s="76" t="s">
        <v>17</v>
      </c>
      <c r="E8" s="76" t="s">
        <v>3</v>
      </c>
      <c r="F8" s="76"/>
      <c r="G8" s="77">
        <v>276414.3</v>
      </c>
      <c r="H8" s="78">
        <v>276414.3</v>
      </c>
      <c r="I8" s="131"/>
      <c r="J8" s="77">
        <f>'2018dram'!B46</f>
        <v>156995.1</v>
      </c>
      <c r="K8" s="78">
        <f>'2018past'!I46</f>
        <v>155592.19999999998</v>
      </c>
      <c r="L8" s="178">
        <f>SUM(K8-J8-I8)</f>
        <v>-1402.9000000000233</v>
      </c>
      <c r="M8" s="170" t="s">
        <v>16</v>
      </c>
    </row>
    <row r="9" spans="1:13" ht="15.75" customHeight="1">
      <c r="A9" s="848" t="s">
        <v>72</v>
      </c>
      <c r="B9" s="849"/>
      <c r="C9" s="850"/>
      <c r="D9" s="76" t="s">
        <v>18</v>
      </c>
      <c r="E9" s="76" t="s">
        <v>73</v>
      </c>
      <c r="F9" s="76"/>
      <c r="G9" s="77">
        <v>0</v>
      </c>
      <c r="H9" s="78">
        <v>0</v>
      </c>
      <c r="I9" s="131"/>
      <c r="J9" s="77">
        <f>'2018dram'!C46</f>
        <v>6133.2</v>
      </c>
      <c r="K9" s="78">
        <f>'2018past'!J46</f>
        <v>6133.2</v>
      </c>
      <c r="L9" s="178">
        <f aca="true" t="shared" si="0" ref="L9:L41">SUM(K9-J9-I9)</f>
        <v>0</v>
      </c>
      <c r="M9" s="170"/>
    </row>
    <row r="10" spans="1:13" ht="15.75" customHeight="1">
      <c r="A10" s="794" t="s">
        <v>60</v>
      </c>
      <c r="B10" s="795"/>
      <c r="C10" s="796"/>
      <c r="D10" s="76" t="s">
        <v>35</v>
      </c>
      <c r="E10" s="76" t="s">
        <v>4</v>
      </c>
      <c r="F10" s="76" t="s">
        <v>88</v>
      </c>
      <c r="G10" s="77">
        <v>35634.2</v>
      </c>
      <c r="H10" s="78">
        <v>35634.2</v>
      </c>
      <c r="I10" s="131">
        <f>'2018past'!B46</f>
        <v>441.8</v>
      </c>
      <c r="J10" s="77">
        <f>'2018dram'!D46</f>
        <v>7476.699999999999</v>
      </c>
      <c r="K10" s="78">
        <f>'2018past'!K46</f>
        <v>7206.599999999999</v>
      </c>
      <c r="L10" s="178">
        <f t="shared" si="0"/>
        <v>-711.8999999999994</v>
      </c>
      <c r="M10" s="170"/>
    </row>
    <row r="11" spans="1:13" ht="15.75" customHeight="1">
      <c r="A11" s="794" t="s">
        <v>61</v>
      </c>
      <c r="B11" s="795"/>
      <c r="C11" s="796"/>
      <c r="D11" s="76"/>
      <c r="E11" s="76" t="s">
        <v>5</v>
      </c>
      <c r="F11" s="76" t="s">
        <v>89</v>
      </c>
      <c r="G11" s="77">
        <v>12642.7</v>
      </c>
      <c r="H11" s="78">
        <v>12642.7</v>
      </c>
      <c r="I11" s="131">
        <f>'2018past'!C46</f>
        <v>10.5</v>
      </c>
      <c r="J11" s="77">
        <f>'2018dram'!E46</f>
        <v>1443.6000000000001</v>
      </c>
      <c r="K11" s="78">
        <f>'2018past'!L46</f>
        <v>1448.8000000000002</v>
      </c>
      <c r="L11" s="178">
        <f t="shared" si="0"/>
        <v>-5.2999999999999545</v>
      </c>
      <c r="M11" s="170"/>
    </row>
    <row r="12" spans="1:13" ht="15.75" customHeight="1">
      <c r="A12" s="799" t="s">
        <v>33</v>
      </c>
      <c r="B12" s="800"/>
      <c r="C12" s="801"/>
      <c r="D12" s="76" t="s">
        <v>34</v>
      </c>
      <c r="E12" s="76" t="s">
        <v>6</v>
      </c>
      <c r="F12" s="76" t="s">
        <v>90</v>
      </c>
      <c r="G12" s="77">
        <v>5710</v>
      </c>
      <c r="H12" s="78">
        <v>5710</v>
      </c>
      <c r="I12" s="131">
        <f>'2018past'!D46</f>
        <v>112.3</v>
      </c>
      <c r="J12" s="77">
        <f>'2018dram'!F46</f>
        <v>3668.3</v>
      </c>
      <c r="K12" s="78">
        <f>'2018past'!M46</f>
        <v>3754.4000000000005</v>
      </c>
      <c r="L12" s="178">
        <f t="shared" si="0"/>
        <v>-26.199999999999633</v>
      </c>
      <c r="M12" s="170"/>
    </row>
    <row r="13" spans="1:13" ht="15.75" customHeight="1">
      <c r="A13" s="818" t="s">
        <v>76</v>
      </c>
      <c r="B13" s="819"/>
      <c r="C13" s="820"/>
      <c r="D13" s="76"/>
      <c r="E13" s="76" t="s">
        <v>77</v>
      </c>
      <c r="F13" s="76"/>
      <c r="G13" s="77"/>
      <c r="H13" s="78"/>
      <c r="I13" s="131"/>
      <c r="J13" s="77">
        <f>'2018dram'!G46</f>
        <v>282</v>
      </c>
      <c r="K13" s="78">
        <f>'2018past'!N46</f>
        <v>282</v>
      </c>
      <c r="L13" s="178">
        <f t="shared" si="0"/>
        <v>0</v>
      </c>
      <c r="M13" s="170"/>
    </row>
    <row r="14" spans="1:13" ht="15.75" customHeight="1">
      <c r="A14" s="799" t="s">
        <v>160</v>
      </c>
      <c r="B14" s="800"/>
      <c r="C14" s="801"/>
      <c r="D14" s="76" t="s">
        <v>31</v>
      </c>
      <c r="E14" s="76" t="s">
        <v>157</v>
      </c>
      <c r="F14" s="76"/>
      <c r="G14" s="77">
        <v>4416.1</v>
      </c>
      <c r="H14" s="78">
        <v>4416.1</v>
      </c>
      <c r="I14" s="131"/>
      <c r="J14" s="77">
        <f>'2018dram'!H46</f>
        <v>193.6</v>
      </c>
      <c r="K14" s="78">
        <f>'2018past'!O46</f>
        <v>193.6</v>
      </c>
      <c r="L14" s="178">
        <f t="shared" si="0"/>
        <v>0</v>
      </c>
      <c r="M14" s="170"/>
    </row>
    <row r="15" spans="1:13" ht="15.75" customHeight="1">
      <c r="A15" s="818" t="s">
        <v>159</v>
      </c>
      <c r="B15" s="819"/>
      <c r="C15" s="820"/>
      <c r="D15" s="76"/>
      <c r="E15" s="76" t="s">
        <v>158</v>
      </c>
      <c r="F15" s="76"/>
      <c r="G15" s="77"/>
      <c r="H15" s="78"/>
      <c r="I15" s="131"/>
      <c r="J15" s="77">
        <f>'2018dram'!I46</f>
        <v>0</v>
      </c>
      <c r="K15" s="78">
        <f>'2018past'!P46</f>
        <v>0</v>
      </c>
      <c r="L15" s="178">
        <f t="shared" si="0"/>
        <v>0</v>
      </c>
      <c r="M15" s="170"/>
    </row>
    <row r="16" spans="1:13" ht="15.75" customHeight="1">
      <c r="A16" s="818" t="s">
        <v>62</v>
      </c>
      <c r="B16" s="819"/>
      <c r="C16" s="820"/>
      <c r="D16" s="76"/>
      <c r="E16" s="76" t="s">
        <v>8</v>
      </c>
      <c r="F16" s="76"/>
      <c r="G16" s="77">
        <v>331.2</v>
      </c>
      <c r="H16" s="78">
        <v>331.2</v>
      </c>
      <c r="I16" s="131"/>
      <c r="J16" s="77">
        <f>'2018dram'!J46</f>
        <v>609.6</v>
      </c>
      <c r="K16" s="78">
        <f>'2018past'!Q46</f>
        <v>609.6</v>
      </c>
      <c r="L16" s="178">
        <f t="shared" si="0"/>
        <v>0</v>
      </c>
      <c r="M16" s="170"/>
    </row>
    <row r="17" spans="1:13" ht="15.75" customHeight="1">
      <c r="A17" s="818" t="s">
        <v>63</v>
      </c>
      <c r="B17" s="819"/>
      <c r="C17" s="820"/>
      <c r="D17" s="76"/>
      <c r="E17" s="76" t="s">
        <v>9</v>
      </c>
      <c r="F17" s="76"/>
      <c r="G17" s="77">
        <v>2811.1</v>
      </c>
      <c r="H17" s="78">
        <v>2811.1</v>
      </c>
      <c r="I17" s="131"/>
      <c r="J17" s="77">
        <f>'2018dram'!K46</f>
        <v>173.6</v>
      </c>
      <c r="K17" s="78">
        <f>'2018past'!R46</f>
        <v>173.6</v>
      </c>
      <c r="L17" s="178">
        <f t="shared" si="0"/>
        <v>0</v>
      </c>
      <c r="M17" s="170"/>
    </row>
    <row r="18" spans="1:13" ht="15.75" customHeight="1">
      <c r="A18" s="799" t="s">
        <v>38</v>
      </c>
      <c r="B18" s="800"/>
      <c r="C18" s="801"/>
      <c r="D18" s="76" t="s">
        <v>39</v>
      </c>
      <c r="E18" s="76" t="s">
        <v>10</v>
      </c>
      <c r="F18" s="76"/>
      <c r="G18" s="77">
        <v>3000</v>
      </c>
      <c r="H18" s="78">
        <v>3400</v>
      </c>
      <c r="I18" s="131"/>
      <c r="J18" s="77">
        <f>'2018dram'!L46</f>
        <v>1190</v>
      </c>
      <c r="K18" s="78">
        <f>'2018past'!S46</f>
        <v>1190</v>
      </c>
      <c r="L18" s="178">
        <f t="shared" si="0"/>
        <v>0</v>
      </c>
      <c r="M18" s="170"/>
    </row>
    <row r="19" spans="1:13" ht="15.75" customHeight="1">
      <c r="A19" s="799" t="s">
        <v>150</v>
      </c>
      <c r="B19" s="800"/>
      <c r="C19" s="801"/>
      <c r="D19" s="76" t="s">
        <v>40</v>
      </c>
      <c r="E19" s="76" t="s">
        <v>11</v>
      </c>
      <c r="F19" s="76"/>
      <c r="G19" s="77">
        <v>10384.7</v>
      </c>
      <c r="H19" s="78">
        <v>10384.7</v>
      </c>
      <c r="I19" s="131"/>
      <c r="J19" s="77">
        <f>'2018dram'!M46</f>
        <v>6954.400000000001</v>
      </c>
      <c r="K19" s="78">
        <f>'2018past'!T46</f>
        <v>6954.400000000001</v>
      </c>
      <c r="L19" s="178">
        <f t="shared" si="0"/>
        <v>0</v>
      </c>
      <c r="M19" s="170"/>
    </row>
    <row r="20" spans="1:13" ht="15.75" customHeight="1">
      <c r="A20" s="818" t="s">
        <v>64</v>
      </c>
      <c r="B20" s="819"/>
      <c r="C20" s="820"/>
      <c r="D20" s="76"/>
      <c r="E20" s="76" t="s">
        <v>12</v>
      </c>
      <c r="F20" s="76"/>
      <c r="G20" s="77">
        <v>5663.8</v>
      </c>
      <c r="H20" s="78">
        <v>5663.8</v>
      </c>
      <c r="I20" s="131"/>
      <c r="J20" s="77">
        <f>'2018dram'!N46</f>
        <v>4128.4</v>
      </c>
      <c r="K20" s="78">
        <f>'2018past'!U46</f>
        <v>4128.4</v>
      </c>
      <c r="L20" s="178">
        <f t="shared" si="0"/>
        <v>0</v>
      </c>
      <c r="M20" s="170"/>
    </row>
    <row r="21" spans="1:13" ht="15.75" customHeight="1">
      <c r="A21" s="818" t="s">
        <v>65</v>
      </c>
      <c r="B21" s="819"/>
      <c r="C21" s="820"/>
      <c r="D21" s="76"/>
      <c r="E21" s="76" t="s">
        <v>13</v>
      </c>
      <c r="F21" s="76"/>
      <c r="G21" s="77">
        <v>1633.3</v>
      </c>
      <c r="H21" s="78">
        <v>1633.3</v>
      </c>
      <c r="I21" s="131">
        <f>'2018past'!E46</f>
        <v>-1071.6</v>
      </c>
      <c r="J21" s="77">
        <f>'2018dram'!O46</f>
        <v>17780.100000000002</v>
      </c>
      <c r="K21" s="78">
        <f>'2018past'!V46</f>
        <v>17420.4</v>
      </c>
      <c r="L21" s="178">
        <f t="shared" si="0"/>
        <v>711.8999999999992</v>
      </c>
      <c r="M21" s="563">
        <v>0.05</v>
      </c>
    </row>
    <row r="22" spans="1:13" ht="15.75" customHeight="1">
      <c r="A22" s="818" t="s">
        <v>66</v>
      </c>
      <c r="B22" s="819"/>
      <c r="C22" s="820"/>
      <c r="D22" s="76"/>
      <c r="E22" s="76" t="s">
        <v>14</v>
      </c>
      <c r="F22" s="76"/>
      <c r="G22" s="77">
        <v>250</v>
      </c>
      <c r="H22" s="78">
        <v>250</v>
      </c>
      <c r="I22" s="131"/>
      <c r="J22" s="77">
        <f>'2018dram'!P46</f>
        <v>221</v>
      </c>
      <c r="K22" s="78">
        <f>'2018past'!W46</f>
        <v>221</v>
      </c>
      <c r="L22" s="178">
        <f t="shared" si="0"/>
        <v>0</v>
      </c>
      <c r="M22" s="170"/>
    </row>
    <row r="23" spans="1:13" ht="15.75" customHeight="1">
      <c r="A23" s="805" t="s">
        <v>28</v>
      </c>
      <c r="B23" s="806"/>
      <c r="C23" s="807"/>
      <c r="D23" s="76" t="s">
        <v>29</v>
      </c>
      <c r="E23" s="76" t="s">
        <v>15</v>
      </c>
      <c r="F23" s="76"/>
      <c r="G23" s="77">
        <v>3950.3</v>
      </c>
      <c r="H23" s="78">
        <v>3950.3</v>
      </c>
      <c r="I23" s="131"/>
      <c r="J23" s="77">
        <f>'2018dram'!Q46</f>
        <v>3027.5</v>
      </c>
      <c r="K23" s="78">
        <f>'2018past'!X46</f>
        <v>3027.5</v>
      </c>
      <c r="L23" s="178">
        <f t="shared" si="0"/>
        <v>0</v>
      </c>
      <c r="M23" s="170"/>
    </row>
    <row r="24" spans="1:13" ht="15.75" customHeight="1">
      <c r="A24" s="848" t="s">
        <v>79</v>
      </c>
      <c r="B24" s="849"/>
      <c r="C24" s="850"/>
      <c r="D24" s="76"/>
      <c r="E24" s="76" t="s">
        <v>78</v>
      </c>
      <c r="F24" s="76"/>
      <c r="G24" s="77"/>
      <c r="H24" s="78"/>
      <c r="I24" s="131"/>
      <c r="J24" s="77">
        <f>'2018dram'!R46</f>
        <v>200</v>
      </c>
      <c r="K24" s="78">
        <f>'2018past'!Y46</f>
        <v>200</v>
      </c>
      <c r="L24" s="178">
        <f t="shared" si="0"/>
        <v>0</v>
      </c>
      <c r="M24" s="170"/>
    </row>
    <row r="25" spans="1:13" ht="15.75" customHeight="1">
      <c r="A25" s="799" t="s">
        <v>67</v>
      </c>
      <c r="B25" s="800"/>
      <c r="C25" s="801"/>
      <c r="D25" s="76" t="s">
        <v>32</v>
      </c>
      <c r="E25" s="76" t="s">
        <v>50</v>
      </c>
      <c r="F25" s="76"/>
      <c r="G25" s="77">
        <v>24681.2</v>
      </c>
      <c r="H25" s="78">
        <v>24681.2</v>
      </c>
      <c r="I25" s="131"/>
      <c r="J25" s="77">
        <f>'2018dram'!S46</f>
        <v>41073.8</v>
      </c>
      <c r="K25" s="78">
        <f>'2018past'!Z46</f>
        <v>41073.8</v>
      </c>
      <c r="L25" s="178">
        <f t="shared" si="0"/>
        <v>0</v>
      </c>
      <c r="M25" s="170"/>
    </row>
    <row r="26" spans="1:13" ht="15.75" customHeight="1">
      <c r="A26" s="818" t="s">
        <v>68</v>
      </c>
      <c r="B26" s="819"/>
      <c r="C26" s="820"/>
      <c r="D26" s="76"/>
      <c r="E26" s="76" t="s">
        <v>51</v>
      </c>
      <c r="F26" s="76"/>
      <c r="G26" s="77">
        <v>43982.3</v>
      </c>
      <c r="H26" s="78">
        <v>43982.3</v>
      </c>
      <c r="I26" s="131"/>
      <c r="J26" s="77">
        <f>'2018dram'!T46</f>
        <v>2811.9</v>
      </c>
      <c r="K26" s="78">
        <f>'2018past'!AA46</f>
        <v>2811.9</v>
      </c>
      <c r="L26" s="178">
        <f t="shared" si="0"/>
        <v>0</v>
      </c>
      <c r="M26" s="170"/>
    </row>
    <row r="27" spans="1:13" ht="15.75" customHeight="1">
      <c r="A27" s="818" t="s">
        <v>74</v>
      </c>
      <c r="B27" s="819"/>
      <c r="C27" s="820"/>
      <c r="D27" s="76"/>
      <c r="E27" s="76" t="s">
        <v>2</v>
      </c>
      <c r="F27" s="76"/>
      <c r="G27" s="77"/>
      <c r="H27" s="78"/>
      <c r="I27" s="131"/>
      <c r="J27" s="77">
        <f>'2018dram'!U46</f>
        <v>813</v>
      </c>
      <c r="K27" s="78">
        <f>'2018past'!AB46</f>
        <v>813</v>
      </c>
      <c r="L27" s="178">
        <f t="shared" si="0"/>
        <v>0</v>
      </c>
      <c r="M27" s="170"/>
    </row>
    <row r="28" spans="1:13" ht="15.75" customHeight="1">
      <c r="A28" s="818" t="s">
        <v>70</v>
      </c>
      <c r="B28" s="819"/>
      <c r="C28" s="820"/>
      <c r="D28" s="76"/>
      <c r="E28" s="76" t="s">
        <v>52</v>
      </c>
      <c r="F28" s="76"/>
      <c r="G28" s="77">
        <v>10000</v>
      </c>
      <c r="H28" s="78">
        <v>10000</v>
      </c>
      <c r="I28" s="131">
        <f>'2018past'!F46</f>
        <v>1688.1999999999998</v>
      </c>
      <c r="J28" s="77">
        <f>'2018dram'!V46</f>
        <v>495630.39999999997</v>
      </c>
      <c r="K28" s="78">
        <f>'2018past'!AC46</f>
        <v>495325.6</v>
      </c>
      <c r="L28" s="178">
        <f t="shared" si="0"/>
        <v>-1992.9999999999882</v>
      </c>
      <c r="M28" s="170"/>
    </row>
    <row r="29" spans="1:13" ht="15.75" customHeight="1">
      <c r="A29" s="818" t="s">
        <v>106</v>
      </c>
      <c r="B29" s="819"/>
      <c r="C29" s="820"/>
      <c r="D29" s="76"/>
      <c r="E29" s="76" t="s">
        <v>80</v>
      </c>
      <c r="F29" s="76"/>
      <c r="G29" s="77">
        <v>45571.3</v>
      </c>
      <c r="H29" s="78">
        <v>45171.3</v>
      </c>
      <c r="I29" s="131"/>
      <c r="J29" s="77">
        <f>'2018dram'!W46</f>
        <v>0</v>
      </c>
      <c r="K29" s="78">
        <f>'2018past'!AD46</f>
        <v>0</v>
      </c>
      <c r="L29" s="178">
        <f t="shared" si="0"/>
        <v>0</v>
      </c>
      <c r="M29" s="170"/>
    </row>
    <row r="30" spans="1:13" ht="15.75" customHeight="1">
      <c r="A30" s="818" t="s">
        <v>71</v>
      </c>
      <c r="B30" s="819"/>
      <c r="C30" s="820"/>
      <c r="D30" s="76"/>
      <c r="E30" s="76" t="s">
        <v>53</v>
      </c>
      <c r="F30" s="76"/>
      <c r="G30" s="77">
        <v>13290.8</v>
      </c>
      <c r="H30" s="78">
        <v>13290.8</v>
      </c>
      <c r="I30" s="131"/>
      <c r="J30" s="77">
        <f>'2018dram'!X46</f>
        <v>7631.7</v>
      </c>
      <c r="K30" s="78">
        <f>'2018past'!AE46</f>
        <v>7631.7</v>
      </c>
      <c r="L30" s="178">
        <f t="shared" si="0"/>
        <v>0</v>
      </c>
      <c r="M30" s="170"/>
    </row>
    <row r="31" spans="1:13" ht="15.75" customHeight="1">
      <c r="A31" s="818" t="s">
        <v>151</v>
      </c>
      <c r="B31" s="819"/>
      <c r="C31" s="820"/>
      <c r="D31" s="76"/>
      <c r="E31" s="76" t="s">
        <v>54</v>
      </c>
      <c r="F31" s="76"/>
      <c r="G31" s="77"/>
      <c r="H31" s="78"/>
      <c r="I31" s="131"/>
      <c r="J31" s="77">
        <f>'2018dram'!Y46</f>
        <v>4970</v>
      </c>
      <c r="K31" s="78">
        <f>'2018past'!AF46</f>
        <v>4970</v>
      </c>
      <c r="L31" s="178">
        <f t="shared" si="0"/>
        <v>0</v>
      </c>
      <c r="M31" s="170"/>
    </row>
    <row r="32" spans="1:13" ht="15.75" customHeight="1">
      <c r="A32" s="799" t="s">
        <v>36</v>
      </c>
      <c r="B32" s="800"/>
      <c r="C32" s="801"/>
      <c r="D32" s="76" t="s">
        <v>37</v>
      </c>
      <c r="E32" s="76" t="s">
        <v>59</v>
      </c>
      <c r="F32" s="76"/>
      <c r="G32" s="77">
        <v>500</v>
      </c>
      <c r="H32" s="78">
        <v>500</v>
      </c>
      <c r="I32" s="131"/>
      <c r="J32" s="77">
        <f>'2018dram'!Z46</f>
        <v>3997.6</v>
      </c>
      <c r="K32" s="78">
        <f>'2018past'!AG46</f>
        <v>3978.1</v>
      </c>
      <c r="L32" s="178">
        <f t="shared" si="0"/>
        <v>-19.5</v>
      </c>
      <c r="M32" s="170"/>
    </row>
    <row r="33" spans="1:13" ht="19.5" customHeight="1" thickBot="1">
      <c r="A33" s="821" t="s">
        <v>41</v>
      </c>
      <c r="B33" s="822"/>
      <c r="C33" s="823"/>
      <c r="D33" s="82" t="s">
        <v>42</v>
      </c>
      <c r="E33" s="180">
        <v>4891</v>
      </c>
      <c r="F33" s="107"/>
      <c r="G33" s="107"/>
      <c r="H33" s="107"/>
      <c r="I33" s="102"/>
      <c r="J33" s="88">
        <f>'2018dram'!AA46</f>
        <v>0</v>
      </c>
      <c r="K33" s="106">
        <f>'2018past'!AH46</f>
        <v>0</v>
      </c>
      <c r="L33" s="178">
        <f t="shared" si="0"/>
        <v>0</v>
      </c>
      <c r="M33" s="171"/>
    </row>
    <row r="34" spans="1:13" s="113" customFormat="1" ht="18" customHeight="1" thickBot="1">
      <c r="A34" s="851" t="s">
        <v>43</v>
      </c>
      <c r="B34" s="852"/>
      <c r="C34" s="853"/>
      <c r="D34" s="123" t="s">
        <v>16</v>
      </c>
      <c r="E34" s="123"/>
      <c r="F34" s="123"/>
      <c r="G34" s="124">
        <f>SUM(G35:G44)</f>
        <v>49696.399999999994</v>
      </c>
      <c r="H34" s="125">
        <f>SUM(H35:H44)</f>
        <v>49696.399999999994</v>
      </c>
      <c r="I34" s="125">
        <f>SUM(I35:I41)</f>
        <v>10478.3</v>
      </c>
      <c r="J34" s="124">
        <f>SUM(J35:J41)</f>
        <v>34804.3</v>
      </c>
      <c r="K34" s="126">
        <f>SUM(K35:K41)</f>
        <v>45715.1</v>
      </c>
      <c r="L34" s="124">
        <f>SUM(L35:L41)</f>
        <v>432.50000000000364</v>
      </c>
      <c r="M34" s="172"/>
    </row>
    <row r="35" spans="1:13" ht="15" customHeight="1">
      <c r="A35" s="818" t="s">
        <v>155</v>
      </c>
      <c r="B35" s="819"/>
      <c r="C35" s="820"/>
      <c r="D35" s="76"/>
      <c r="E35" s="76" t="s">
        <v>154</v>
      </c>
      <c r="F35" s="76"/>
      <c r="G35" s="77">
        <v>82596.4</v>
      </c>
      <c r="H35" s="78">
        <v>82596.4</v>
      </c>
      <c r="I35" s="131"/>
      <c r="J35" s="77">
        <f>'2018dram'!AC46</f>
        <v>0</v>
      </c>
      <c r="K35" s="78">
        <f>'2018past'!AJ46</f>
        <v>0</v>
      </c>
      <c r="L35" s="178">
        <f t="shared" si="0"/>
        <v>0</v>
      </c>
      <c r="M35" s="173"/>
    </row>
    <row r="36" spans="1:13" ht="22.5" customHeight="1">
      <c r="A36" s="818" t="s">
        <v>162</v>
      </c>
      <c r="B36" s="819"/>
      <c r="C36" s="820"/>
      <c r="D36" s="76" t="s">
        <v>46</v>
      </c>
      <c r="E36" s="76" t="s">
        <v>81</v>
      </c>
      <c r="F36" s="76"/>
      <c r="G36" s="77">
        <v>5100</v>
      </c>
      <c r="H36" s="78">
        <v>5100</v>
      </c>
      <c r="I36" s="131">
        <f>'2018past'!G46</f>
        <v>10478.3</v>
      </c>
      <c r="J36" s="77">
        <f>'2018dram'!AD46</f>
        <v>4037.2</v>
      </c>
      <c r="K36" s="78">
        <f>'2018past'!AK46</f>
        <v>14689.1</v>
      </c>
      <c r="L36" s="178">
        <f t="shared" si="0"/>
        <v>173.60000000000218</v>
      </c>
      <c r="M36" s="563">
        <v>0.05</v>
      </c>
    </row>
    <row r="37" spans="1:13" ht="22.5" customHeight="1">
      <c r="A37" s="818" t="s">
        <v>156</v>
      </c>
      <c r="B37" s="819"/>
      <c r="C37" s="820"/>
      <c r="D37" s="76"/>
      <c r="E37" s="76" t="s">
        <v>55</v>
      </c>
      <c r="F37" s="76"/>
      <c r="G37" s="77"/>
      <c r="H37" s="78"/>
      <c r="I37" s="131"/>
      <c r="J37" s="77">
        <f>'2018dram'!AE46</f>
        <v>19472.5</v>
      </c>
      <c r="K37" s="78">
        <f>'2018past'!AL46</f>
        <v>19731.4</v>
      </c>
      <c r="L37" s="178">
        <f t="shared" si="0"/>
        <v>258.90000000000146</v>
      </c>
      <c r="M37" s="563">
        <v>0.05</v>
      </c>
    </row>
    <row r="38" spans="1:13" ht="15.75" customHeight="1">
      <c r="A38" s="79" t="s">
        <v>108</v>
      </c>
      <c r="B38" s="80"/>
      <c r="C38" s="80"/>
      <c r="D38" s="85"/>
      <c r="E38" s="76" t="s">
        <v>56</v>
      </c>
      <c r="F38" s="76"/>
      <c r="G38" s="77"/>
      <c r="H38" s="78"/>
      <c r="I38" s="131"/>
      <c r="J38" s="77">
        <f>'2018dram'!AF46</f>
        <v>0</v>
      </c>
      <c r="K38" s="78">
        <f>'2018past'!AM46</f>
        <v>0</v>
      </c>
      <c r="L38" s="178">
        <f t="shared" si="0"/>
        <v>0</v>
      </c>
      <c r="M38" s="170"/>
    </row>
    <row r="39" spans="1:13" ht="12.75" customHeight="1">
      <c r="A39" s="79" t="s">
        <v>87</v>
      </c>
      <c r="B39" s="80"/>
      <c r="C39" s="80"/>
      <c r="D39" s="81"/>
      <c r="E39" s="76" t="s">
        <v>49</v>
      </c>
      <c r="F39" s="76"/>
      <c r="G39" s="77"/>
      <c r="H39" s="78"/>
      <c r="I39" s="131"/>
      <c r="J39" s="77">
        <f>'2018dram'!AG46</f>
        <v>4073</v>
      </c>
      <c r="K39" s="78">
        <f>'2018past'!AN46</f>
        <v>4073</v>
      </c>
      <c r="L39" s="178">
        <f t="shared" si="0"/>
        <v>0</v>
      </c>
      <c r="M39" s="170"/>
    </row>
    <row r="40" spans="1:13" ht="15.75" customHeight="1">
      <c r="A40" s="818" t="s">
        <v>85</v>
      </c>
      <c r="B40" s="819"/>
      <c r="C40" s="820"/>
      <c r="D40" s="86"/>
      <c r="E40" s="87" t="s">
        <v>57</v>
      </c>
      <c r="F40" s="76"/>
      <c r="G40" s="77"/>
      <c r="H40" s="78"/>
      <c r="I40" s="131"/>
      <c r="J40" s="77">
        <f>'2018dram'!AH46</f>
        <v>5221.6</v>
      </c>
      <c r="K40" s="78">
        <f>'2018past'!AO46</f>
        <v>5221.6</v>
      </c>
      <c r="L40" s="178">
        <f t="shared" si="0"/>
        <v>0</v>
      </c>
      <c r="M40" s="170"/>
    </row>
    <row r="41" spans="1:13" ht="15.75" customHeight="1" thickBot="1">
      <c r="A41" s="815" t="s">
        <v>44</v>
      </c>
      <c r="B41" s="816"/>
      <c r="C41" s="817"/>
      <c r="D41" s="95" t="s">
        <v>45</v>
      </c>
      <c r="E41" s="95" t="s">
        <v>58</v>
      </c>
      <c r="F41" s="96"/>
      <c r="G41" s="97">
        <v>-38000</v>
      </c>
      <c r="H41" s="98">
        <v>-38000</v>
      </c>
      <c r="I41" s="132"/>
      <c r="J41" s="97">
        <f>'2018dram'!AJ46</f>
        <v>2000</v>
      </c>
      <c r="K41" s="98">
        <f>'2018past'!AQ46</f>
        <v>2000</v>
      </c>
      <c r="L41" s="178">
        <f t="shared" si="0"/>
        <v>0</v>
      </c>
      <c r="M41" s="171"/>
    </row>
    <row r="42" spans="1:13" s="113" customFormat="1" ht="23.25" customHeight="1" thickBot="1">
      <c r="A42" s="812" t="s">
        <v>103</v>
      </c>
      <c r="B42" s="813"/>
      <c r="C42" s="814"/>
      <c r="D42" s="127"/>
      <c r="E42" s="128"/>
      <c r="F42" s="123"/>
      <c r="G42" s="129"/>
      <c r="H42" s="130"/>
      <c r="I42" s="125">
        <f>I43++I44</f>
        <v>0</v>
      </c>
      <c r="J42" s="124">
        <f>J43++J44</f>
        <v>-6580.4</v>
      </c>
      <c r="K42" s="126">
        <f>K43++K44</f>
        <v>-6580.4</v>
      </c>
      <c r="L42" s="124">
        <f>L43++L44</f>
        <v>0</v>
      </c>
      <c r="M42" s="172"/>
    </row>
    <row r="43" spans="1:13" ht="19.5" customHeight="1" thickBot="1">
      <c r="A43" s="824" t="s">
        <v>178</v>
      </c>
      <c r="B43" s="825"/>
      <c r="C43" s="826"/>
      <c r="D43" s="99"/>
      <c r="E43" s="100" t="s">
        <v>104</v>
      </c>
      <c r="F43" s="75"/>
      <c r="G43" s="83"/>
      <c r="H43" s="84"/>
      <c r="I43" s="133"/>
      <c r="J43" s="83">
        <f>'2018dram'!AM46</f>
        <v>0</v>
      </c>
      <c r="K43" s="84">
        <f>'2018past'!CC46</f>
        <v>0</v>
      </c>
      <c r="L43" s="83">
        <f>SUM(K43,-J43)</f>
        <v>0</v>
      </c>
      <c r="M43" s="174"/>
    </row>
    <row r="44" spans="1:13" ht="18" customHeight="1" thickBot="1">
      <c r="A44" s="810" t="s">
        <v>179</v>
      </c>
      <c r="B44" s="811"/>
      <c r="C44" s="811"/>
      <c r="D44" s="108"/>
      <c r="E44" s="108" t="s">
        <v>105</v>
      </c>
      <c r="F44" s="108"/>
      <c r="G44" s="109"/>
      <c r="H44" s="110"/>
      <c r="I44" s="103">
        <f>'2018dram'!AM46</f>
        <v>0</v>
      </c>
      <c r="J44" s="103">
        <f>'2018dram'!AN46</f>
        <v>-6580.4</v>
      </c>
      <c r="K44" s="111">
        <f>'2018past'!CD46</f>
        <v>-6580.4</v>
      </c>
      <c r="L44" s="179">
        <f>SUM(K44,-J44)</f>
        <v>0</v>
      </c>
      <c r="M44" s="175"/>
    </row>
    <row r="49" ht="12.75">
      <c r="E49" s="69" t="s">
        <v>182</v>
      </c>
    </row>
  </sheetData>
  <sheetProtection/>
  <mergeCells count="49">
    <mergeCell ref="A37:C37"/>
    <mergeCell ref="A40:C40"/>
    <mergeCell ref="A15:C15"/>
    <mergeCell ref="A36:C36"/>
    <mergeCell ref="A34:C34"/>
    <mergeCell ref="A27:C27"/>
    <mergeCell ref="A35:C35"/>
    <mergeCell ref="A24:C24"/>
    <mergeCell ref="A28:C28"/>
    <mergeCell ref="A31:C31"/>
    <mergeCell ref="A17:C17"/>
    <mergeCell ref="A9:C9"/>
    <mergeCell ref="A23:C23"/>
    <mergeCell ref="A20:C20"/>
    <mergeCell ref="A13:C13"/>
    <mergeCell ref="A18:C18"/>
    <mergeCell ref="A16:C16"/>
    <mergeCell ref="A19:C19"/>
    <mergeCell ref="A22:C22"/>
    <mergeCell ref="A21:C21"/>
    <mergeCell ref="A1:L1"/>
    <mergeCell ref="A3:C4"/>
    <mergeCell ref="D3:D4"/>
    <mergeCell ref="G3:G4"/>
    <mergeCell ref="H3:H4"/>
    <mergeCell ref="A6:C6"/>
    <mergeCell ref="J3:K3"/>
    <mergeCell ref="I3:I4"/>
    <mergeCell ref="L3:L4"/>
    <mergeCell ref="A5:C5"/>
    <mergeCell ref="A25:C25"/>
    <mergeCell ref="A44:C44"/>
    <mergeCell ref="A42:C42"/>
    <mergeCell ref="A41:C41"/>
    <mergeCell ref="A26:C26"/>
    <mergeCell ref="A29:C29"/>
    <mergeCell ref="A33:C33"/>
    <mergeCell ref="A32:C32"/>
    <mergeCell ref="A30:C30"/>
    <mergeCell ref="A43:C43"/>
    <mergeCell ref="A2:M2"/>
    <mergeCell ref="A11:C11"/>
    <mergeCell ref="A10:C10"/>
    <mergeCell ref="F3:F4"/>
    <mergeCell ref="A14:C14"/>
    <mergeCell ref="A7:C7"/>
    <mergeCell ref="A12:C12"/>
    <mergeCell ref="A8:C8"/>
    <mergeCell ref="M3:M4"/>
  </mergeCells>
  <printOptions/>
  <pageMargins left="0.25" right="0.25" top="0.75" bottom="0.75" header="0.3" footer="0.3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SheetLayoutView="100" zoomScalePageLayoutView="0" workbookViewId="0" topLeftCell="A7">
      <selection activeCell="S13" sqref="S13"/>
    </sheetView>
  </sheetViews>
  <sheetFormatPr defaultColWidth="0" defaultRowHeight="12.75"/>
  <cols>
    <col min="1" max="1" width="4.7109375" style="233" customWidth="1"/>
    <col min="2" max="2" width="9.140625" style="233" customWidth="1"/>
    <col min="3" max="4" width="16.421875" style="233" customWidth="1"/>
    <col min="5" max="5" width="9.57421875" style="233" customWidth="1"/>
    <col min="6" max="6" width="9.140625" style="233" customWidth="1"/>
    <col min="7" max="8" width="10.7109375" style="233" customWidth="1"/>
    <col min="9" max="9" width="9.8515625" style="233" customWidth="1"/>
    <col min="10" max="10" width="9.7109375" style="233" customWidth="1"/>
    <col min="11" max="11" width="9.8515625" style="233" customWidth="1"/>
    <col min="12" max="12" width="11.140625" style="233" customWidth="1"/>
    <col min="13" max="13" width="9.8515625" style="233" customWidth="1"/>
    <col min="14" max="14" width="9.57421875" style="233" customWidth="1"/>
    <col min="15" max="15" width="10.8515625" style="233" customWidth="1"/>
    <col min="16" max="16" width="13.7109375" style="233" customWidth="1"/>
    <col min="17" max="17" width="10.57421875" style="233" bestFit="1" customWidth="1"/>
    <col min="18" max="252" width="9.140625" style="233" customWidth="1"/>
    <col min="253" max="253" width="3.140625" style="233" customWidth="1"/>
    <col min="254" max="254" width="9.140625" style="233" customWidth="1"/>
    <col min="255" max="255" width="15.421875" style="233" customWidth="1"/>
    <col min="256" max="16384" width="0" style="233" hidden="1" customWidth="1"/>
  </cols>
  <sheetData>
    <row r="1" spans="1:256" ht="18">
      <c r="A1" s="878" t="s">
        <v>275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577"/>
      <c r="M1" s="577"/>
      <c r="N1" s="577"/>
      <c r="O1" s="577"/>
      <c r="P1" s="57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  <c r="AT1" s="638"/>
      <c r="AU1" s="638"/>
      <c r="AV1" s="638"/>
      <c r="AW1" s="638"/>
      <c r="AX1" s="638"/>
      <c r="AY1" s="638"/>
      <c r="AZ1" s="638"/>
      <c r="BA1" s="638"/>
      <c r="BB1" s="638"/>
      <c r="BC1" s="638"/>
      <c r="BD1" s="638"/>
      <c r="BE1" s="638"/>
      <c r="BF1" s="638"/>
      <c r="BG1" s="638"/>
      <c r="BH1" s="638"/>
      <c r="BI1" s="638"/>
      <c r="BJ1" s="638"/>
      <c r="BK1" s="638"/>
      <c r="BL1" s="638"/>
      <c r="BM1" s="638"/>
      <c r="BN1" s="638"/>
      <c r="BO1" s="638"/>
      <c r="BP1" s="638"/>
      <c r="BQ1" s="638"/>
      <c r="BR1" s="638"/>
      <c r="BS1" s="638"/>
      <c r="BT1" s="638"/>
      <c r="BU1" s="638"/>
      <c r="BV1" s="638"/>
      <c r="BW1" s="638"/>
      <c r="BX1" s="638"/>
      <c r="BY1" s="638"/>
      <c r="BZ1" s="638"/>
      <c r="CA1" s="638"/>
      <c r="CB1" s="638"/>
      <c r="CC1" s="638"/>
      <c r="CD1" s="638"/>
      <c r="CE1" s="638"/>
      <c r="CF1" s="638"/>
      <c r="CG1" s="638"/>
      <c r="CH1" s="638"/>
      <c r="CI1" s="638"/>
      <c r="CJ1" s="638"/>
      <c r="CK1" s="638"/>
      <c r="CL1" s="638"/>
      <c r="CM1" s="638"/>
      <c r="CN1" s="638"/>
      <c r="CO1" s="638"/>
      <c r="CP1" s="638"/>
      <c r="CQ1" s="638"/>
      <c r="CR1" s="638"/>
      <c r="CS1" s="638"/>
      <c r="CT1" s="638"/>
      <c r="CU1" s="638"/>
      <c r="CV1" s="638"/>
      <c r="CW1" s="638"/>
      <c r="CX1" s="638"/>
      <c r="CY1" s="638"/>
      <c r="CZ1" s="638"/>
      <c r="DA1" s="638"/>
      <c r="DB1" s="638"/>
      <c r="DC1" s="638"/>
      <c r="DD1" s="638"/>
      <c r="DE1" s="638"/>
      <c r="DF1" s="638"/>
      <c r="DG1" s="638"/>
      <c r="DH1" s="638"/>
      <c r="DI1" s="638"/>
      <c r="DJ1" s="638"/>
      <c r="DK1" s="638"/>
      <c r="DL1" s="638"/>
      <c r="DM1" s="638"/>
      <c r="DN1" s="638"/>
      <c r="DO1" s="638"/>
      <c r="DP1" s="638"/>
      <c r="DQ1" s="638"/>
      <c r="DR1" s="638"/>
      <c r="DS1" s="638"/>
      <c r="DT1" s="638"/>
      <c r="DU1" s="638"/>
      <c r="DV1" s="638"/>
      <c r="DW1" s="638"/>
      <c r="DX1" s="638"/>
      <c r="DY1" s="638"/>
      <c r="DZ1" s="638"/>
      <c r="EA1" s="638"/>
      <c r="EB1" s="638"/>
      <c r="EC1" s="638"/>
      <c r="ED1" s="638"/>
      <c r="EE1" s="638"/>
      <c r="EF1" s="638"/>
      <c r="EG1" s="638"/>
      <c r="EH1" s="638"/>
      <c r="EI1" s="638"/>
      <c r="EJ1" s="638"/>
      <c r="EK1" s="638"/>
      <c r="EL1" s="638"/>
      <c r="EM1" s="638"/>
      <c r="EN1" s="638"/>
      <c r="EO1" s="638"/>
      <c r="EP1" s="638"/>
      <c r="EQ1" s="638"/>
      <c r="ER1" s="638"/>
      <c r="ES1" s="638"/>
      <c r="ET1" s="638"/>
      <c r="EU1" s="638"/>
      <c r="EV1" s="638"/>
      <c r="EW1" s="638"/>
      <c r="EX1" s="638"/>
      <c r="EY1" s="638"/>
      <c r="EZ1" s="638"/>
      <c r="FA1" s="638"/>
      <c r="FB1" s="638"/>
      <c r="FC1" s="638"/>
      <c r="FD1" s="638"/>
      <c r="FE1" s="638"/>
      <c r="FF1" s="638"/>
      <c r="FG1" s="638"/>
      <c r="FH1" s="638"/>
      <c r="FI1" s="638"/>
      <c r="FJ1" s="638"/>
      <c r="FK1" s="638"/>
      <c r="FL1" s="638"/>
      <c r="FM1" s="638"/>
      <c r="FN1" s="638"/>
      <c r="FO1" s="638"/>
      <c r="FP1" s="638"/>
      <c r="FQ1" s="638"/>
      <c r="FR1" s="638"/>
      <c r="FS1" s="638"/>
      <c r="FT1" s="638"/>
      <c r="FU1" s="638"/>
      <c r="FV1" s="638"/>
      <c r="FW1" s="638"/>
      <c r="FX1" s="638"/>
      <c r="FY1" s="638"/>
      <c r="FZ1" s="638"/>
      <c r="GA1" s="638"/>
      <c r="GB1" s="638"/>
      <c r="GC1" s="638"/>
      <c r="GD1" s="638"/>
      <c r="GE1" s="638"/>
      <c r="GF1" s="638"/>
      <c r="GG1" s="638"/>
      <c r="GH1" s="638"/>
      <c r="GI1" s="638"/>
      <c r="GJ1" s="638"/>
      <c r="GK1" s="638"/>
      <c r="GL1" s="638"/>
      <c r="GM1" s="638"/>
      <c r="GN1" s="638"/>
      <c r="GO1" s="638"/>
      <c r="GP1" s="638"/>
      <c r="GQ1" s="638"/>
      <c r="GR1" s="638"/>
      <c r="GS1" s="638"/>
      <c r="GT1" s="638"/>
      <c r="GU1" s="638"/>
      <c r="GV1" s="638"/>
      <c r="GW1" s="638"/>
      <c r="GX1" s="638"/>
      <c r="GY1" s="638"/>
      <c r="GZ1" s="638"/>
      <c r="HA1" s="638"/>
      <c r="HB1" s="638"/>
      <c r="HC1" s="638"/>
      <c r="HD1" s="638"/>
      <c r="HE1" s="638"/>
      <c r="HF1" s="638"/>
      <c r="HG1" s="638"/>
      <c r="HH1" s="638"/>
      <c r="HI1" s="638"/>
      <c r="HJ1" s="638"/>
      <c r="HK1" s="638"/>
      <c r="HL1" s="638"/>
      <c r="HM1" s="638"/>
      <c r="HN1" s="638"/>
      <c r="HO1" s="638"/>
      <c r="HP1" s="638"/>
      <c r="HQ1" s="638"/>
      <c r="HR1" s="638"/>
      <c r="HS1" s="638"/>
      <c r="HT1" s="638"/>
      <c r="HU1" s="638"/>
      <c r="HV1" s="638"/>
      <c r="HW1" s="638"/>
      <c r="HX1" s="638"/>
      <c r="HY1" s="638"/>
      <c r="HZ1" s="638"/>
      <c r="IA1" s="638"/>
      <c r="IB1" s="638"/>
      <c r="IC1" s="638"/>
      <c r="ID1" s="638"/>
      <c r="IE1" s="638"/>
      <c r="IF1" s="638"/>
      <c r="IG1" s="638"/>
      <c r="IH1" s="638"/>
      <c r="II1" s="638"/>
      <c r="IJ1" s="638"/>
      <c r="IK1" s="638"/>
      <c r="IL1" s="638"/>
      <c r="IM1" s="638"/>
      <c r="IN1" s="638"/>
      <c r="IO1" s="638"/>
      <c r="IP1" s="638"/>
      <c r="IQ1" s="638"/>
      <c r="IR1" s="638"/>
      <c r="IS1" s="638"/>
      <c r="IT1" s="638"/>
      <c r="IU1" s="638"/>
      <c r="IV1" s="638"/>
    </row>
    <row r="2" spans="1:256" ht="34.5" customHeight="1">
      <c r="A2" s="879" t="s">
        <v>306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638"/>
      <c r="EN2" s="638"/>
      <c r="EO2" s="638"/>
      <c r="EP2" s="638"/>
      <c r="EQ2" s="638"/>
      <c r="ER2" s="638"/>
      <c r="ES2" s="638"/>
      <c r="ET2" s="638"/>
      <c r="EU2" s="638"/>
      <c r="EV2" s="638"/>
      <c r="EW2" s="638"/>
      <c r="EX2" s="638"/>
      <c r="EY2" s="638"/>
      <c r="EZ2" s="638"/>
      <c r="FA2" s="638"/>
      <c r="FB2" s="638"/>
      <c r="FC2" s="638"/>
      <c r="FD2" s="638"/>
      <c r="FE2" s="638"/>
      <c r="FF2" s="638"/>
      <c r="FG2" s="638"/>
      <c r="FH2" s="638"/>
      <c r="FI2" s="638"/>
      <c r="FJ2" s="638"/>
      <c r="FK2" s="638"/>
      <c r="FL2" s="638"/>
      <c r="FM2" s="638"/>
      <c r="FN2" s="638"/>
      <c r="FO2" s="638"/>
      <c r="FP2" s="638"/>
      <c r="FQ2" s="638"/>
      <c r="FR2" s="638"/>
      <c r="FS2" s="638"/>
      <c r="FT2" s="638"/>
      <c r="FU2" s="638"/>
      <c r="FV2" s="638"/>
      <c r="FW2" s="638"/>
      <c r="FX2" s="638"/>
      <c r="FY2" s="638"/>
      <c r="FZ2" s="638"/>
      <c r="GA2" s="638"/>
      <c r="GB2" s="638"/>
      <c r="GC2" s="638"/>
      <c r="GD2" s="638"/>
      <c r="GE2" s="638"/>
      <c r="GF2" s="638"/>
      <c r="GG2" s="638"/>
      <c r="GH2" s="638"/>
      <c r="GI2" s="638"/>
      <c r="GJ2" s="638"/>
      <c r="GK2" s="638"/>
      <c r="GL2" s="638"/>
      <c r="GM2" s="638"/>
      <c r="GN2" s="638"/>
      <c r="GO2" s="638"/>
      <c r="GP2" s="638"/>
      <c r="GQ2" s="638"/>
      <c r="GR2" s="638"/>
      <c r="GS2" s="638"/>
      <c r="GT2" s="638"/>
      <c r="GU2" s="638"/>
      <c r="GV2" s="638"/>
      <c r="GW2" s="638"/>
      <c r="GX2" s="638"/>
      <c r="GY2" s="638"/>
      <c r="GZ2" s="638"/>
      <c r="HA2" s="638"/>
      <c r="HB2" s="638"/>
      <c r="HC2" s="638"/>
      <c r="HD2" s="638"/>
      <c r="HE2" s="638"/>
      <c r="HF2" s="638"/>
      <c r="HG2" s="638"/>
      <c r="HH2" s="638"/>
      <c r="HI2" s="638"/>
      <c r="HJ2" s="638"/>
      <c r="HK2" s="638"/>
      <c r="HL2" s="638"/>
      <c r="HM2" s="638"/>
      <c r="HN2" s="638"/>
      <c r="HO2" s="638"/>
      <c r="HP2" s="638"/>
      <c r="HQ2" s="638"/>
      <c r="HR2" s="638"/>
      <c r="HS2" s="638"/>
      <c r="HT2" s="638"/>
      <c r="HU2" s="638"/>
      <c r="HV2" s="638"/>
      <c r="HW2" s="638"/>
      <c r="HX2" s="638"/>
      <c r="HY2" s="638"/>
      <c r="HZ2" s="638"/>
      <c r="IA2" s="638"/>
      <c r="IB2" s="638"/>
      <c r="IC2" s="638"/>
      <c r="ID2" s="638"/>
      <c r="IE2" s="638"/>
      <c r="IF2" s="638"/>
      <c r="IG2" s="638"/>
      <c r="IH2" s="638"/>
      <c r="II2" s="638"/>
      <c r="IJ2" s="638"/>
      <c r="IK2" s="638"/>
      <c r="IL2" s="638"/>
      <c r="IM2" s="638"/>
      <c r="IN2" s="638"/>
      <c r="IO2" s="638"/>
      <c r="IP2" s="638"/>
      <c r="IQ2" s="638"/>
      <c r="IR2" s="638"/>
      <c r="IS2" s="638"/>
      <c r="IT2" s="638"/>
      <c r="IU2" s="638"/>
      <c r="IV2" s="638"/>
    </row>
    <row r="3" spans="1:256" ht="12" customHeight="1" thickBot="1">
      <c r="A3" s="579"/>
      <c r="B3" s="579"/>
      <c r="C3" s="579"/>
      <c r="D3" s="579"/>
      <c r="E3" s="579"/>
      <c r="F3" s="579"/>
      <c r="G3" s="579"/>
      <c r="H3" s="880"/>
      <c r="I3" s="880"/>
      <c r="J3" s="579"/>
      <c r="K3" s="579"/>
      <c r="L3" s="579"/>
      <c r="M3" s="579"/>
      <c r="N3" s="579"/>
      <c r="O3" s="579"/>
      <c r="P3" s="682" t="s">
        <v>309</v>
      </c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638"/>
      <c r="EN3" s="638"/>
      <c r="EO3" s="638"/>
      <c r="EP3" s="638"/>
      <c r="EQ3" s="638"/>
      <c r="ER3" s="638"/>
      <c r="ES3" s="638"/>
      <c r="ET3" s="638"/>
      <c r="EU3" s="638"/>
      <c r="EV3" s="638"/>
      <c r="EW3" s="638"/>
      <c r="EX3" s="638"/>
      <c r="EY3" s="638"/>
      <c r="EZ3" s="638"/>
      <c r="FA3" s="638"/>
      <c r="FB3" s="638"/>
      <c r="FC3" s="638"/>
      <c r="FD3" s="638"/>
      <c r="FE3" s="638"/>
      <c r="FF3" s="638"/>
      <c r="FG3" s="638"/>
      <c r="FH3" s="638"/>
      <c r="FI3" s="638"/>
      <c r="FJ3" s="638"/>
      <c r="FK3" s="638"/>
      <c r="FL3" s="638"/>
      <c r="FM3" s="638"/>
      <c r="FN3" s="638"/>
      <c r="FO3" s="638"/>
      <c r="FP3" s="638"/>
      <c r="FQ3" s="638"/>
      <c r="FR3" s="638"/>
      <c r="FS3" s="638"/>
      <c r="FT3" s="638"/>
      <c r="FU3" s="638"/>
      <c r="FV3" s="638"/>
      <c r="FW3" s="638"/>
      <c r="FX3" s="638"/>
      <c r="FY3" s="638"/>
      <c r="FZ3" s="638"/>
      <c r="GA3" s="638"/>
      <c r="GB3" s="638"/>
      <c r="GC3" s="638"/>
      <c r="GD3" s="638"/>
      <c r="GE3" s="638"/>
      <c r="GF3" s="638"/>
      <c r="GG3" s="638"/>
      <c r="GH3" s="638"/>
      <c r="GI3" s="638"/>
      <c r="GJ3" s="638"/>
      <c r="GK3" s="638"/>
      <c r="GL3" s="638"/>
      <c r="GM3" s="638"/>
      <c r="GN3" s="638"/>
      <c r="GO3" s="638"/>
      <c r="GP3" s="638"/>
      <c r="GQ3" s="638"/>
      <c r="GR3" s="638"/>
      <c r="GS3" s="638"/>
      <c r="GT3" s="638"/>
      <c r="GU3" s="638"/>
      <c r="GV3" s="638"/>
      <c r="GW3" s="638"/>
      <c r="GX3" s="638"/>
      <c r="GY3" s="638"/>
      <c r="GZ3" s="638"/>
      <c r="HA3" s="638"/>
      <c r="HB3" s="638"/>
      <c r="HC3" s="638"/>
      <c r="HD3" s="638"/>
      <c r="HE3" s="638"/>
      <c r="HF3" s="638"/>
      <c r="HG3" s="638"/>
      <c r="HH3" s="638"/>
      <c r="HI3" s="638"/>
      <c r="HJ3" s="638"/>
      <c r="HK3" s="638"/>
      <c r="HL3" s="638"/>
      <c r="HM3" s="638"/>
      <c r="HN3" s="638"/>
      <c r="HO3" s="638"/>
      <c r="HP3" s="638"/>
      <c r="HQ3" s="638"/>
      <c r="HR3" s="638"/>
      <c r="HS3" s="638"/>
      <c r="HT3" s="638"/>
      <c r="HU3" s="638"/>
      <c r="HV3" s="638"/>
      <c r="HW3" s="638"/>
      <c r="HX3" s="638"/>
      <c r="HY3" s="638"/>
      <c r="HZ3" s="638"/>
      <c r="IA3" s="638"/>
      <c r="IB3" s="638"/>
      <c r="IC3" s="638"/>
      <c r="ID3" s="638"/>
      <c r="IE3" s="638"/>
      <c r="IF3" s="638"/>
      <c r="IG3" s="638"/>
      <c r="IH3" s="638"/>
      <c r="II3" s="638"/>
      <c r="IJ3" s="638"/>
      <c r="IK3" s="638"/>
      <c r="IL3" s="638"/>
      <c r="IM3" s="638"/>
      <c r="IN3" s="638"/>
      <c r="IO3" s="638"/>
      <c r="IP3" s="638"/>
      <c r="IQ3" s="638"/>
      <c r="IR3" s="638"/>
      <c r="IS3" s="638"/>
      <c r="IT3" s="638"/>
      <c r="IU3" s="638"/>
      <c r="IV3" s="638"/>
    </row>
    <row r="4" spans="1:256" ht="12.75">
      <c r="A4" s="881" t="s">
        <v>276</v>
      </c>
      <c r="B4" s="883" t="s">
        <v>308</v>
      </c>
      <c r="C4" s="884"/>
      <c r="D4" s="870" t="s">
        <v>277</v>
      </c>
      <c r="E4" s="870" t="s">
        <v>278</v>
      </c>
      <c r="F4" s="870" t="s">
        <v>279</v>
      </c>
      <c r="G4" s="870" t="s">
        <v>280</v>
      </c>
      <c r="H4" s="870" t="s">
        <v>281</v>
      </c>
      <c r="I4" s="870" t="s">
        <v>282</v>
      </c>
      <c r="J4" s="872" t="s">
        <v>283</v>
      </c>
      <c r="K4" s="874" t="s">
        <v>284</v>
      </c>
      <c r="L4" s="876" t="s">
        <v>285</v>
      </c>
      <c r="M4" s="874" t="s">
        <v>286</v>
      </c>
      <c r="N4" s="876" t="s">
        <v>287</v>
      </c>
      <c r="O4" s="874" t="s">
        <v>288</v>
      </c>
      <c r="P4" s="887" t="s">
        <v>307</v>
      </c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  <c r="BB4" s="639"/>
      <c r="BC4" s="639"/>
      <c r="BD4" s="639"/>
      <c r="BE4" s="639"/>
      <c r="BF4" s="639"/>
      <c r="BG4" s="639"/>
      <c r="BH4" s="639"/>
      <c r="BI4" s="639"/>
      <c r="BJ4" s="639"/>
      <c r="BK4" s="639"/>
      <c r="BL4" s="639"/>
      <c r="BM4" s="639"/>
      <c r="BN4" s="639"/>
      <c r="BO4" s="639"/>
      <c r="BP4" s="639"/>
      <c r="BQ4" s="639"/>
      <c r="BR4" s="639"/>
      <c r="BS4" s="639"/>
      <c r="BT4" s="639"/>
      <c r="BU4" s="639"/>
      <c r="BV4" s="639"/>
      <c r="BW4" s="639"/>
      <c r="BX4" s="639"/>
      <c r="BY4" s="639"/>
      <c r="BZ4" s="639"/>
      <c r="CA4" s="639"/>
      <c r="CB4" s="639"/>
      <c r="CC4" s="639"/>
      <c r="CD4" s="639"/>
      <c r="CE4" s="639"/>
      <c r="CF4" s="639"/>
      <c r="CG4" s="639"/>
      <c r="CH4" s="639"/>
      <c r="CI4" s="639"/>
      <c r="CJ4" s="639"/>
      <c r="CK4" s="639"/>
      <c r="CL4" s="639"/>
      <c r="CM4" s="639"/>
      <c r="CN4" s="639"/>
      <c r="CO4" s="639"/>
      <c r="CP4" s="639"/>
      <c r="CQ4" s="639"/>
      <c r="CR4" s="639"/>
      <c r="CS4" s="639"/>
      <c r="CT4" s="639"/>
      <c r="CU4" s="639"/>
      <c r="CV4" s="639"/>
      <c r="CW4" s="639"/>
      <c r="CX4" s="639"/>
      <c r="CY4" s="639"/>
      <c r="CZ4" s="639"/>
      <c r="DA4" s="639"/>
      <c r="DB4" s="639"/>
      <c r="DC4" s="639"/>
      <c r="DD4" s="639"/>
      <c r="DE4" s="639"/>
      <c r="DF4" s="639"/>
      <c r="DG4" s="639"/>
      <c r="DH4" s="639"/>
      <c r="DI4" s="639"/>
      <c r="DJ4" s="639"/>
      <c r="DK4" s="639"/>
      <c r="DL4" s="639"/>
      <c r="DM4" s="639"/>
      <c r="DN4" s="639"/>
      <c r="DO4" s="639"/>
      <c r="DP4" s="639"/>
      <c r="DQ4" s="639"/>
      <c r="DR4" s="639"/>
      <c r="DS4" s="639"/>
      <c r="DT4" s="639"/>
      <c r="DU4" s="639"/>
      <c r="DV4" s="639"/>
      <c r="DW4" s="639"/>
      <c r="DX4" s="639"/>
      <c r="DY4" s="639"/>
      <c r="DZ4" s="639"/>
      <c r="EA4" s="639"/>
      <c r="EB4" s="639"/>
      <c r="EC4" s="639"/>
      <c r="ED4" s="639"/>
      <c r="EE4" s="639"/>
      <c r="EF4" s="639"/>
      <c r="EG4" s="639"/>
      <c r="EH4" s="639"/>
      <c r="EI4" s="639"/>
      <c r="EJ4" s="639"/>
      <c r="EK4" s="639"/>
      <c r="EL4" s="639"/>
      <c r="EM4" s="639"/>
      <c r="EN4" s="639"/>
      <c r="EO4" s="639"/>
      <c r="EP4" s="639"/>
      <c r="EQ4" s="639"/>
      <c r="ER4" s="639"/>
      <c r="ES4" s="639"/>
      <c r="ET4" s="639"/>
      <c r="EU4" s="639"/>
      <c r="EV4" s="639"/>
      <c r="EW4" s="639"/>
      <c r="EX4" s="639"/>
      <c r="EY4" s="639"/>
      <c r="EZ4" s="639"/>
      <c r="FA4" s="639"/>
      <c r="FB4" s="639"/>
      <c r="FC4" s="639"/>
      <c r="FD4" s="639"/>
      <c r="FE4" s="639"/>
      <c r="FF4" s="639"/>
      <c r="FG4" s="639"/>
      <c r="FH4" s="639"/>
      <c r="FI4" s="639"/>
      <c r="FJ4" s="639"/>
      <c r="FK4" s="639"/>
      <c r="FL4" s="639"/>
      <c r="FM4" s="639"/>
      <c r="FN4" s="639"/>
      <c r="FO4" s="639"/>
      <c r="FP4" s="639"/>
      <c r="FQ4" s="639"/>
      <c r="FR4" s="639"/>
      <c r="FS4" s="639"/>
      <c r="FT4" s="639"/>
      <c r="FU4" s="639"/>
      <c r="FV4" s="639"/>
      <c r="FW4" s="639"/>
      <c r="FX4" s="639"/>
      <c r="FY4" s="639"/>
      <c r="FZ4" s="639"/>
      <c r="GA4" s="639"/>
      <c r="GB4" s="639"/>
      <c r="GC4" s="639"/>
      <c r="GD4" s="639"/>
      <c r="GE4" s="639"/>
      <c r="GF4" s="639"/>
      <c r="GG4" s="639"/>
      <c r="GH4" s="639"/>
      <c r="GI4" s="639"/>
      <c r="GJ4" s="639"/>
      <c r="GK4" s="639"/>
      <c r="GL4" s="639"/>
      <c r="GM4" s="639"/>
      <c r="GN4" s="639"/>
      <c r="GO4" s="639"/>
      <c r="GP4" s="639"/>
      <c r="GQ4" s="639"/>
      <c r="GR4" s="639"/>
      <c r="GS4" s="639"/>
      <c r="GT4" s="639"/>
      <c r="GU4" s="639"/>
      <c r="GV4" s="639"/>
      <c r="GW4" s="639"/>
      <c r="GX4" s="639"/>
      <c r="GY4" s="639"/>
      <c r="GZ4" s="639"/>
      <c r="HA4" s="639"/>
      <c r="HB4" s="639"/>
      <c r="HC4" s="639"/>
      <c r="HD4" s="639"/>
      <c r="HE4" s="639"/>
      <c r="HF4" s="639"/>
      <c r="HG4" s="639"/>
      <c r="HH4" s="639"/>
      <c r="HI4" s="639"/>
      <c r="HJ4" s="639"/>
      <c r="HK4" s="639"/>
      <c r="HL4" s="639"/>
      <c r="HM4" s="639"/>
      <c r="HN4" s="639"/>
      <c r="HO4" s="639"/>
      <c r="HP4" s="639"/>
      <c r="HQ4" s="639"/>
      <c r="HR4" s="639"/>
      <c r="HS4" s="639"/>
      <c r="HT4" s="639"/>
      <c r="HU4" s="639"/>
      <c r="HV4" s="639"/>
      <c r="HW4" s="639"/>
      <c r="HX4" s="639"/>
      <c r="HY4" s="639"/>
      <c r="HZ4" s="639"/>
      <c r="IA4" s="639"/>
      <c r="IB4" s="639"/>
      <c r="IC4" s="639"/>
      <c r="ID4" s="639"/>
      <c r="IE4" s="639"/>
      <c r="IF4" s="639"/>
      <c r="IG4" s="639"/>
      <c r="IH4" s="639"/>
      <c r="II4" s="639"/>
      <c r="IJ4" s="639"/>
      <c r="IK4" s="639"/>
      <c r="IL4" s="639"/>
      <c r="IM4" s="639"/>
      <c r="IN4" s="639"/>
      <c r="IO4" s="639"/>
      <c r="IP4" s="639"/>
      <c r="IQ4" s="639"/>
      <c r="IR4" s="639"/>
      <c r="IS4" s="639"/>
      <c r="IT4" s="639"/>
      <c r="IU4" s="639"/>
      <c r="IV4" s="639"/>
    </row>
    <row r="5" spans="1:256" ht="7.5" customHeight="1" thickBot="1">
      <c r="A5" s="882"/>
      <c r="B5" s="885"/>
      <c r="C5" s="886"/>
      <c r="D5" s="871"/>
      <c r="E5" s="871"/>
      <c r="F5" s="871"/>
      <c r="G5" s="871"/>
      <c r="H5" s="871"/>
      <c r="I5" s="871"/>
      <c r="J5" s="873"/>
      <c r="K5" s="875"/>
      <c r="L5" s="877"/>
      <c r="M5" s="875"/>
      <c r="N5" s="877"/>
      <c r="O5" s="875"/>
      <c r="P5" s="888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639"/>
      <c r="BM5" s="639"/>
      <c r="BN5" s="639"/>
      <c r="BO5" s="639"/>
      <c r="BP5" s="639"/>
      <c r="BQ5" s="639"/>
      <c r="BR5" s="639"/>
      <c r="BS5" s="639"/>
      <c r="BT5" s="639"/>
      <c r="BU5" s="639"/>
      <c r="BV5" s="639"/>
      <c r="BW5" s="639"/>
      <c r="BX5" s="639"/>
      <c r="BY5" s="639"/>
      <c r="BZ5" s="639"/>
      <c r="CA5" s="639"/>
      <c r="CB5" s="639"/>
      <c r="CC5" s="639"/>
      <c r="CD5" s="639"/>
      <c r="CE5" s="639"/>
      <c r="CF5" s="639"/>
      <c r="CG5" s="639"/>
      <c r="CH5" s="639"/>
      <c r="CI5" s="639"/>
      <c r="CJ5" s="639"/>
      <c r="CK5" s="639"/>
      <c r="CL5" s="639"/>
      <c r="CM5" s="639"/>
      <c r="CN5" s="639"/>
      <c r="CO5" s="639"/>
      <c r="CP5" s="639"/>
      <c r="CQ5" s="639"/>
      <c r="CR5" s="639"/>
      <c r="CS5" s="639"/>
      <c r="CT5" s="639"/>
      <c r="CU5" s="639"/>
      <c r="CV5" s="639"/>
      <c r="CW5" s="639"/>
      <c r="CX5" s="639"/>
      <c r="CY5" s="639"/>
      <c r="CZ5" s="639"/>
      <c r="DA5" s="639"/>
      <c r="DB5" s="639"/>
      <c r="DC5" s="639"/>
      <c r="DD5" s="639"/>
      <c r="DE5" s="639"/>
      <c r="DF5" s="639"/>
      <c r="DG5" s="639"/>
      <c r="DH5" s="639"/>
      <c r="DI5" s="639"/>
      <c r="DJ5" s="639"/>
      <c r="DK5" s="639"/>
      <c r="DL5" s="639"/>
      <c r="DM5" s="639"/>
      <c r="DN5" s="639"/>
      <c r="DO5" s="639"/>
      <c r="DP5" s="639"/>
      <c r="DQ5" s="639"/>
      <c r="DR5" s="639"/>
      <c r="DS5" s="639"/>
      <c r="DT5" s="639"/>
      <c r="DU5" s="639"/>
      <c r="DV5" s="639"/>
      <c r="DW5" s="639"/>
      <c r="DX5" s="639"/>
      <c r="DY5" s="639"/>
      <c r="DZ5" s="639"/>
      <c r="EA5" s="639"/>
      <c r="EB5" s="639"/>
      <c r="EC5" s="639"/>
      <c r="ED5" s="639"/>
      <c r="EE5" s="639"/>
      <c r="EF5" s="639"/>
      <c r="EG5" s="639"/>
      <c r="EH5" s="639"/>
      <c r="EI5" s="639"/>
      <c r="EJ5" s="639"/>
      <c r="EK5" s="639"/>
      <c r="EL5" s="639"/>
      <c r="EM5" s="639"/>
      <c r="EN5" s="639"/>
      <c r="EO5" s="639"/>
      <c r="EP5" s="639"/>
      <c r="EQ5" s="639"/>
      <c r="ER5" s="639"/>
      <c r="ES5" s="639"/>
      <c r="ET5" s="639"/>
      <c r="EU5" s="639"/>
      <c r="EV5" s="639"/>
      <c r="EW5" s="639"/>
      <c r="EX5" s="639"/>
      <c r="EY5" s="639"/>
      <c r="EZ5" s="639"/>
      <c r="FA5" s="639"/>
      <c r="FB5" s="639"/>
      <c r="FC5" s="639"/>
      <c r="FD5" s="639"/>
      <c r="FE5" s="639"/>
      <c r="FF5" s="639"/>
      <c r="FG5" s="639"/>
      <c r="FH5" s="639"/>
      <c r="FI5" s="639"/>
      <c r="FJ5" s="639"/>
      <c r="FK5" s="639"/>
      <c r="FL5" s="639"/>
      <c r="FM5" s="639"/>
      <c r="FN5" s="639"/>
      <c r="FO5" s="639"/>
      <c r="FP5" s="639"/>
      <c r="FQ5" s="639"/>
      <c r="FR5" s="639"/>
      <c r="FS5" s="639"/>
      <c r="FT5" s="639"/>
      <c r="FU5" s="639"/>
      <c r="FV5" s="639"/>
      <c r="FW5" s="639"/>
      <c r="FX5" s="639"/>
      <c r="FY5" s="639"/>
      <c r="FZ5" s="639"/>
      <c r="GA5" s="639"/>
      <c r="GB5" s="639"/>
      <c r="GC5" s="639"/>
      <c r="GD5" s="639"/>
      <c r="GE5" s="639"/>
      <c r="GF5" s="639"/>
      <c r="GG5" s="639"/>
      <c r="GH5" s="639"/>
      <c r="GI5" s="639"/>
      <c r="GJ5" s="639"/>
      <c r="GK5" s="639"/>
      <c r="GL5" s="639"/>
      <c r="GM5" s="639"/>
      <c r="GN5" s="639"/>
      <c r="GO5" s="639"/>
      <c r="GP5" s="639"/>
      <c r="GQ5" s="639"/>
      <c r="GR5" s="639"/>
      <c r="GS5" s="639"/>
      <c r="GT5" s="639"/>
      <c r="GU5" s="639"/>
      <c r="GV5" s="639"/>
      <c r="GW5" s="639"/>
      <c r="GX5" s="639"/>
      <c r="GY5" s="639"/>
      <c r="GZ5" s="639"/>
      <c r="HA5" s="639"/>
      <c r="HB5" s="639"/>
      <c r="HC5" s="639"/>
      <c r="HD5" s="639"/>
      <c r="HE5" s="639"/>
      <c r="HF5" s="639"/>
      <c r="HG5" s="639"/>
      <c r="HH5" s="639"/>
      <c r="HI5" s="639"/>
      <c r="HJ5" s="639"/>
      <c r="HK5" s="639"/>
      <c r="HL5" s="639"/>
      <c r="HM5" s="639"/>
      <c r="HN5" s="639"/>
      <c r="HO5" s="639"/>
      <c r="HP5" s="639"/>
      <c r="HQ5" s="639"/>
      <c r="HR5" s="639"/>
      <c r="HS5" s="639"/>
      <c r="HT5" s="639"/>
      <c r="HU5" s="639"/>
      <c r="HV5" s="639"/>
      <c r="HW5" s="639"/>
      <c r="HX5" s="639"/>
      <c r="HY5" s="639"/>
      <c r="HZ5" s="639"/>
      <c r="IA5" s="639"/>
      <c r="IB5" s="639"/>
      <c r="IC5" s="639"/>
      <c r="ID5" s="639"/>
      <c r="IE5" s="639"/>
      <c r="IF5" s="639"/>
      <c r="IG5" s="639"/>
      <c r="IH5" s="639"/>
      <c r="II5" s="639"/>
      <c r="IJ5" s="639"/>
      <c r="IK5" s="639"/>
      <c r="IL5" s="639"/>
      <c r="IM5" s="639"/>
      <c r="IN5" s="639"/>
      <c r="IO5" s="639"/>
      <c r="IP5" s="639"/>
      <c r="IQ5" s="639"/>
      <c r="IR5" s="639"/>
      <c r="IS5" s="639"/>
      <c r="IT5" s="639"/>
      <c r="IU5" s="639"/>
      <c r="IV5" s="639"/>
    </row>
    <row r="6" spans="1:256" ht="15" customHeight="1">
      <c r="A6" s="640">
        <v>1</v>
      </c>
      <c r="B6" s="580" t="s">
        <v>132</v>
      </c>
      <c r="C6" s="580"/>
      <c r="D6" s="581"/>
      <c r="E6" s="581"/>
      <c r="F6" s="582"/>
      <c r="G6" s="581">
        <v>630</v>
      </c>
      <c r="H6" s="581">
        <v>605.5</v>
      </c>
      <c r="I6" s="581">
        <v>605.5</v>
      </c>
      <c r="J6" s="413">
        <v>609</v>
      </c>
      <c r="K6" s="581">
        <v>598.5</v>
      </c>
      <c r="L6" s="582">
        <v>612.5</v>
      </c>
      <c r="M6" s="581">
        <v>598.5</v>
      </c>
      <c r="N6" s="582">
        <v>598.5</v>
      </c>
      <c r="O6" s="581">
        <v>598.5</v>
      </c>
      <c r="P6" s="674">
        <f>SUM(D6:O6)</f>
        <v>5456.5</v>
      </c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/>
      <c r="BN6" s="641"/>
      <c r="BO6" s="641"/>
      <c r="BP6" s="641"/>
      <c r="BQ6" s="641"/>
      <c r="BR6" s="641"/>
      <c r="BS6" s="641"/>
      <c r="BT6" s="641"/>
      <c r="BU6" s="641"/>
      <c r="BV6" s="641"/>
      <c r="BW6" s="641"/>
      <c r="BX6" s="641"/>
      <c r="BY6" s="641"/>
      <c r="BZ6" s="641"/>
      <c r="CA6" s="641"/>
      <c r="CB6" s="641"/>
      <c r="CC6" s="641"/>
      <c r="CD6" s="641"/>
      <c r="CE6" s="641"/>
      <c r="CF6" s="641"/>
      <c r="CG6" s="641"/>
      <c r="CH6" s="641"/>
      <c r="CI6" s="641"/>
      <c r="CJ6" s="641"/>
      <c r="CK6" s="641"/>
      <c r="CL6" s="641"/>
      <c r="CM6" s="641"/>
      <c r="CN6" s="641"/>
      <c r="CO6" s="641"/>
      <c r="CP6" s="641"/>
      <c r="CQ6" s="641"/>
      <c r="CR6" s="641"/>
      <c r="CS6" s="641"/>
      <c r="CT6" s="641"/>
      <c r="CU6" s="641"/>
      <c r="CV6" s="641"/>
      <c r="CW6" s="641"/>
      <c r="CX6" s="641"/>
      <c r="CY6" s="641"/>
      <c r="CZ6" s="641"/>
      <c r="DA6" s="641"/>
      <c r="DB6" s="641"/>
      <c r="DC6" s="641"/>
      <c r="DD6" s="641"/>
      <c r="DE6" s="641"/>
      <c r="DF6" s="641"/>
      <c r="DG6" s="641"/>
      <c r="DH6" s="641"/>
      <c r="DI6" s="641"/>
      <c r="DJ6" s="641"/>
      <c r="DK6" s="641"/>
      <c r="DL6" s="641"/>
      <c r="DM6" s="641"/>
      <c r="DN6" s="641"/>
      <c r="DO6" s="641"/>
      <c r="DP6" s="641"/>
      <c r="DQ6" s="641"/>
      <c r="DR6" s="641"/>
      <c r="DS6" s="641"/>
      <c r="DT6" s="641"/>
      <c r="DU6" s="641"/>
      <c r="DV6" s="641"/>
      <c r="DW6" s="641"/>
      <c r="DX6" s="641"/>
      <c r="DY6" s="641"/>
      <c r="DZ6" s="641"/>
      <c r="EA6" s="641"/>
      <c r="EB6" s="641"/>
      <c r="EC6" s="641"/>
      <c r="ED6" s="641"/>
      <c r="EE6" s="641"/>
      <c r="EF6" s="641"/>
      <c r="EG6" s="641"/>
      <c r="EH6" s="641"/>
      <c r="EI6" s="641"/>
      <c r="EJ6" s="641"/>
      <c r="EK6" s="641"/>
      <c r="EL6" s="641"/>
      <c r="EM6" s="641"/>
      <c r="EN6" s="641"/>
      <c r="EO6" s="641"/>
      <c r="EP6" s="641"/>
      <c r="EQ6" s="641"/>
      <c r="ER6" s="641"/>
      <c r="ES6" s="641"/>
      <c r="ET6" s="641"/>
      <c r="EU6" s="641"/>
      <c r="EV6" s="641"/>
      <c r="EW6" s="641"/>
      <c r="EX6" s="641"/>
      <c r="EY6" s="641"/>
      <c r="EZ6" s="641"/>
      <c r="FA6" s="641"/>
      <c r="FB6" s="641"/>
      <c r="FC6" s="641"/>
      <c r="FD6" s="641"/>
      <c r="FE6" s="641"/>
      <c r="FF6" s="641"/>
      <c r="FG6" s="641"/>
      <c r="FH6" s="641"/>
      <c r="FI6" s="641"/>
      <c r="FJ6" s="641"/>
      <c r="FK6" s="641"/>
      <c r="FL6" s="641"/>
      <c r="FM6" s="641"/>
      <c r="FN6" s="641"/>
      <c r="FO6" s="641"/>
      <c r="FP6" s="641"/>
      <c r="FQ6" s="641"/>
      <c r="FR6" s="641"/>
      <c r="FS6" s="641"/>
      <c r="FT6" s="641"/>
      <c r="FU6" s="641"/>
      <c r="FV6" s="641"/>
      <c r="FW6" s="641"/>
      <c r="FX6" s="641"/>
      <c r="FY6" s="641"/>
      <c r="FZ6" s="641"/>
      <c r="GA6" s="641"/>
      <c r="GB6" s="641"/>
      <c r="GC6" s="641"/>
      <c r="GD6" s="641"/>
      <c r="GE6" s="641"/>
      <c r="GF6" s="641"/>
      <c r="GG6" s="641"/>
      <c r="GH6" s="641"/>
      <c r="GI6" s="641"/>
      <c r="GJ6" s="641"/>
      <c r="GK6" s="641"/>
      <c r="GL6" s="641"/>
      <c r="GM6" s="641"/>
      <c r="GN6" s="641"/>
      <c r="GO6" s="641"/>
      <c r="GP6" s="641"/>
      <c r="GQ6" s="641"/>
      <c r="GR6" s="641"/>
      <c r="GS6" s="641"/>
      <c r="GT6" s="641"/>
      <c r="GU6" s="641"/>
      <c r="GV6" s="641"/>
      <c r="GW6" s="641"/>
      <c r="GX6" s="641"/>
      <c r="GY6" s="641"/>
      <c r="GZ6" s="641"/>
      <c r="HA6" s="641"/>
      <c r="HB6" s="641"/>
      <c r="HC6" s="641"/>
      <c r="HD6" s="641"/>
      <c r="HE6" s="641"/>
      <c r="HF6" s="641"/>
      <c r="HG6" s="641"/>
      <c r="HH6" s="641"/>
      <c r="HI6" s="641"/>
      <c r="HJ6" s="641"/>
      <c r="HK6" s="641"/>
      <c r="HL6" s="641"/>
      <c r="HM6" s="641"/>
      <c r="HN6" s="641"/>
      <c r="HO6" s="641"/>
      <c r="HP6" s="641"/>
      <c r="HQ6" s="641"/>
      <c r="HR6" s="641"/>
      <c r="HS6" s="641"/>
      <c r="HT6" s="641"/>
      <c r="HU6" s="641"/>
      <c r="HV6" s="641"/>
      <c r="HW6" s="641"/>
      <c r="HX6" s="641"/>
      <c r="HY6" s="641"/>
      <c r="HZ6" s="641"/>
      <c r="IA6" s="641"/>
      <c r="IB6" s="641"/>
      <c r="IC6" s="641"/>
      <c r="ID6" s="641"/>
      <c r="IE6" s="641"/>
      <c r="IF6" s="641"/>
      <c r="IG6" s="641"/>
      <c r="IH6" s="641"/>
      <c r="II6" s="641"/>
      <c r="IJ6" s="641"/>
      <c r="IK6" s="641"/>
      <c r="IL6" s="641"/>
      <c r="IM6" s="641"/>
      <c r="IN6" s="641"/>
      <c r="IO6" s="641"/>
      <c r="IP6" s="641"/>
      <c r="IQ6" s="641"/>
      <c r="IR6" s="641"/>
      <c r="IS6" s="641"/>
      <c r="IT6" s="641"/>
      <c r="IU6" s="641"/>
      <c r="IV6" s="641"/>
    </row>
    <row r="7" spans="1:256" ht="15" customHeight="1">
      <c r="A7" s="642">
        <v>2</v>
      </c>
      <c r="B7" s="580" t="s">
        <v>131</v>
      </c>
      <c r="C7" s="580"/>
      <c r="D7" s="581"/>
      <c r="E7" s="581"/>
      <c r="F7" s="583"/>
      <c r="G7" s="584">
        <v>455</v>
      </c>
      <c r="H7" s="584">
        <v>420</v>
      </c>
      <c r="I7" s="584">
        <v>420</v>
      </c>
      <c r="J7" s="368">
        <v>420</v>
      </c>
      <c r="K7" s="581">
        <v>434</v>
      </c>
      <c r="L7" s="582">
        <v>434</v>
      </c>
      <c r="M7" s="581">
        <v>434</v>
      </c>
      <c r="N7" s="582">
        <v>430.5</v>
      </c>
      <c r="O7" s="581">
        <v>430.5</v>
      </c>
      <c r="P7" s="675">
        <f aca="true" t="shared" si="0" ref="P7:P15">SUM(D7:O7)</f>
        <v>3878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641"/>
      <c r="BE7" s="641"/>
      <c r="BF7" s="641"/>
      <c r="BG7" s="641"/>
      <c r="BH7" s="641"/>
      <c r="BI7" s="641"/>
      <c r="BJ7" s="641"/>
      <c r="BK7" s="641"/>
      <c r="BL7" s="641"/>
      <c r="BM7" s="641"/>
      <c r="BN7" s="641"/>
      <c r="BO7" s="641"/>
      <c r="BP7" s="641"/>
      <c r="BQ7" s="641"/>
      <c r="BR7" s="641"/>
      <c r="BS7" s="641"/>
      <c r="BT7" s="641"/>
      <c r="BU7" s="641"/>
      <c r="BV7" s="641"/>
      <c r="BW7" s="641"/>
      <c r="BX7" s="641"/>
      <c r="BY7" s="641"/>
      <c r="BZ7" s="641"/>
      <c r="CA7" s="641"/>
      <c r="CB7" s="641"/>
      <c r="CC7" s="641"/>
      <c r="CD7" s="641"/>
      <c r="CE7" s="641"/>
      <c r="CF7" s="641"/>
      <c r="CG7" s="641"/>
      <c r="CH7" s="641"/>
      <c r="CI7" s="641"/>
      <c r="CJ7" s="641"/>
      <c r="CK7" s="641"/>
      <c r="CL7" s="641"/>
      <c r="CM7" s="641"/>
      <c r="CN7" s="641"/>
      <c r="CO7" s="641"/>
      <c r="CP7" s="641"/>
      <c r="CQ7" s="641"/>
      <c r="CR7" s="641"/>
      <c r="CS7" s="641"/>
      <c r="CT7" s="641"/>
      <c r="CU7" s="641"/>
      <c r="CV7" s="641"/>
      <c r="CW7" s="641"/>
      <c r="CX7" s="641"/>
      <c r="CY7" s="641"/>
      <c r="CZ7" s="641"/>
      <c r="DA7" s="641"/>
      <c r="DB7" s="641"/>
      <c r="DC7" s="641"/>
      <c r="DD7" s="641"/>
      <c r="DE7" s="641"/>
      <c r="DF7" s="641"/>
      <c r="DG7" s="641"/>
      <c r="DH7" s="641"/>
      <c r="DI7" s="641"/>
      <c r="DJ7" s="641"/>
      <c r="DK7" s="641"/>
      <c r="DL7" s="641"/>
      <c r="DM7" s="641"/>
      <c r="DN7" s="641"/>
      <c r="DO7" s="641"/>
      <c r="DP7" s="641"/>
      <c r="DQ7" s="641"/>
      <c r="DR7" s="641"/>
      <c r="DS7" s="641"/>
      <c r="DT7" s="641"/>
      <c r="DU7" s="641"/>
      <c r="DV7" s="641"/>
      <c r="DW7" s="641"/>
      <c r="DX7" s="641"/>
      <c r="DY7" s="641"/>
      <c r="DZ7" s="641"/>
      <c r="EA7" s="641"/>
      <c r="EB7" s="641"/>
      <c r="EC7" s="641"/>
      <c r="ED7" s="641"/>
      <c r="EE7" s="641"/>
      <c r="EF7" s="641"/>
      <c r="EG7" s="641"/>
      <c r="EH7" s="641"/>
      <c r="EI7" s="641"/>
      <c r="EJ7" s="641"/>
      <c r="EK7" s="641"/>
      <c r="EL7" s="641"/>
      <c r="EM7" s="641"/>
      <c r="EN7" s="641"/>
      <c r="EO7" s="641"/>
      <c r="EP7" s="641"/>
      <c r="EQ7" s="641"/>
      <c r="ER7" s="641"/>
      <c r="ES7" s="641"/>
      <c r="ET7" s="641"/>
      <c r="EU7" s="641"/>
      <c r="EV7" s="641"/>
      <c r="EW7" s="641"/>
      <c r="EX7" s="641"/>
      <c r="EY7" s="641"/>
      <c r="EZ7" s="641"/>
      <c r="FA7" s="641"/>
      <c r="FB7" s="641"/>
      <c r="FC7" s="641"/>
      <c r="FD7" s="641"/>
      <c r="FE7" s="641"/>
      <c r="FF7" s="641"/>
      <c r="FG7" s="641"/>
      <c r="FH7" s="641"/>
      <c r="FI7" s="641"/>
      <c r="FJ7" s="641"/>
      <c r="FK7" s="641"/>
      <c r="FL7" s="641"/>
      <c r="FM7" s="641"/>
      <c r="FN7" s="641"/>
      <c r="FO7" s="641"/>
      <c r="FP7" s="641"/>
      <c r="FQ7" s="641"/>
      <c r="FR7" s="641"/>
      <c r="FS7" s="641"/>
      <c r="FT7" s="641"/>
      <c r="FU7" s="641"/>
      <c r="FV7" s="641"/>
      <c r="FW7" s="641"/>
      <c r="FX7" s="641"/>
      <c r="FY7" s="641"/>
      <c r="FZ7" s="641"/>
      <c r="GA7" s="641"/>
      <c r="GB7" s="641"/>
      <c r="GC7" s="641"/>
      <c r="GD7" s="641"/>
      <c r="GE7" s="641"/>
      <c r="GF7" s="641"/>
      <c r="GG7" s="641"/>
      <c r="GH7" s="641"/>
      <c r="GI7" s="641"/>
      <c r="GJ7" s="641"/>
      <c r="GK7" s="641"/>
      <c r="GL7" s="641"/>
      <c r="GM7" s="641"/>
      <c r="GN7" s="641"/>
      <c r="GO7" s="641"/>
      <c r="GP7" s="641"/>
      <c r="GQ7" s="641"/>
      <c r="GR7" s="641"/>
      <c r="GS7" s="641"/>
      <c r="GT7" s="641"/>
      <c r="GU7" s="641"/>
      <c r="GV7" s="641"/>
      <c r="GW7" s="641"/>
      <c r="GX7" s="641"/>
      <c r="GY7" s="641"/>
      <c r="GZ7" s="641"/>
      <c r="HA7" s="641"/>
      <c r="HB7" s="641"/>
      <c r="HC7" s="641"/>
      <c r="HD7" s="641"/>
      <c r="HE7" s="641"/>
      <c r="HF7" s="641"/>
      <c r="HG7" s="641"/>
      <c r="HH7" s="641"/>
      <c r="HI7" s="641"/>
      <c r="HJ7" s="641"/>
      <c r="HK7" s="641"/>
      <c r="HL7" s="641"/>
      <c r="HM7" s="641"/>
      <c r="HN7" s="641"/>
      <c r="HO7" s="641"/>
      <c r="HP7" s="641"/>
      <c r="HQ7" s="641"/>
      <c r="HR7" s="641"/>
      <c r="HS7" s="641"/>
      <c r="HT7" s="641"/>
      <c r="HU7" s="641"/>
      <c r="HV7" s="641"/>
      <c r="HW7" s="641"/>
      <c r="HX7" s="641"/>
      <c r="HY7" s="641"/>
      <c r="HZ7" s="641"/>
      <c r="IA7" s="641"/>
      <c r="IB7" s="641"/>
      <c r="IC7" s="641"/>
      <c r="ID7" s="641"/>
      <c r="IE7" s="641"/>
      <c r="IF7" s="641"/>
      <c r="IG7" s="641"/>
      <c r="IH7" s="641"/>
      <c r="II7" s="641"/>
      <c r="IJ7" s="641"/>
      <c r="IK7" s="641"/>
      <c r="IL7" s="641"/>
      <c r="IM7" s="641"/>
      <c r="IN7" s="641"/>
      <c r="IO7" s="641"/>
      <c r="IP7" s="641"/>
      <c r="IQ7" s="641"/>
      <c r="IR7" s="641"/>
      <c r="IS7" s="641"/>
      <c r="IT7" s="641"/>
      <c r="IU7" s="641"/>
      <c r="IV7" s="641"/>
    </row>
    <row r="8" spans="1:256" ht="15" customHeight="1">
      <c r="A8" s="642">
        <v>3</v>
      </c>
      <c r="B8" s="580" t="s">
        <v>130</v>
      </c>
      <c r="C8" s="580"/>
      <c r="D8" s="581"/>
      <c r="E8" s="581"/>
      <c r="F8" s="583"/>
      <c r="G8" s="584">
        <v>455</v>
      </c>
      <c r="H8" s="584">
        <v>427</v>
      </c>
      <c r="I8" s="584">
        <v>427</v>
      </c>
      <c r="J8" s="368">
        <v>427</v>
      </c>
      <c r="K8" s="581">
        <v>385</v>
      </c>
      <c r="L8" s="582">
        <v>444.5</v>
      </c>
      <c r="M8" s="581">
        <v>437.5</v>
      </c>
      <c r="N8" s="582">
        <v>437.5</v>
      </c>
      <c r="O8" s="581">
        <v>437.5</v>
      </c>
      <c r="P8" s="675">
        <f t="shared" si="0"/>
        <v>3878</v>
      </c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641"/>
      <c r="BE8" s="641"/>
      <c r="BF8" s="641"/>
      <c r="BG8" s="641"/>
      <c r="BH8" s="641"/>
      <c r="BI8" s="641"/>
      <c r="BJ8" s="641"/>
      <c r="BK8" s="641"/>
      <c r="BL8" s="641"/>
      <c r="BM8" s="641"/>
      <c r="BN8" s="641"/>
      <c r="BO8" s="641"/>
      <c r="BP8" s="641"/>
      <c r="BQ8" s="641"/>
      <c r="BR8" s="641"/>
      <c r="BS8" s="641"/>
      <c r="BT8" s="641"/>
      <c r="BU8" s="641"/>
      <c r="BV8" s="641"/>
      <c r="BW8" s="641"/>
      <c r="BX8" s="641"/>
      <c r="BY8" s="641"/>
      <c r="BZ8" s="641"/>
      <c r="CA8" s="641"/>
      <c r="CB8" s="641"/>
      <c r="CC8" s="641"/>
      <c r="CD8" s="641"/>
      <c r="CE8" s="641"/>
      <c r="CF8" s="641"/>
      <c r="CG8" s="641"/>
      <c r="CH8" s="641"/>
      <c r="CI8" s="641"/>
      <c r="CJ8" s="641"/>
      <c r="CK8" s="641"/>
      <c r="CL8" s="641"/>
      <c r="CM8" s="641"/>
      <c r="CN8" s="641"/>
      <c r="CO8" s="641"/>
      <c r="CP8" s="641"/>
      <c r="CQ8" s="641"/>
      <c r="CR8" s="641"/>
      <c r="CS8" s="641"/>
      <c r="CT8" s="641"/>
      <c r="CU8" s="641"/>
      <c r="CV8" s="641"/>
      <c r="CW8" s="641"/>
      <c r="CX8" s="641"/>
      <c r="CY8" s="641"/>
      <c r="CZ8" s="641"/>
      <c r="DA8" s="641"/>
      <c r="DB8" s="641"/>
      <c r="DC8" s="641"/>
      <c r="DD8" s="641"/>
      <c r="DE8" s="641"/>
      <c r="DF8" s="641"/>
      <c r="DG8" s="641"/>
      <c r="DH8" s="641"/>
      <c r="DI8" s="641"/>
      <c r="DJ8" s="641"/>
      <c r="DK8" s="641"/>
      <c r="DL8" s="641"/>
      <c r="DM8" s="641"/>
      <c r="DN8" s="641"/>
      <c r="DO8" s="641"/>
      <c r="DP8" s="641"/>
      <c r="DQ8" s="641"/>
      <c r="DR8" s="641"/>
      <c r="DS8" s="641"/>
      <c r="DT8" s="641"/>
      <c r="DU8" s="641"/>
      <c r="DV8" s="641"/>
      <c r="DW8" s="641"/>
      <c r="DX8" s="641"/>
      <c r="DY8" s="641"/>
      <c r="DZ8" s="641"/>
      <c r="EA8" s="641"/>
      <c r="EB8" s="641"/>
      <c r="EC8" s="641"/>
      <c r="ED8" s="641"/>
      <c r="EE8" s="641"/>
      <c r="EF8" s="641"/>
      <c r="EG8" s="641"/>
      <c r="EH8" s="641"/>
      <c r="EI8" s="641"/>
      <c r="EJ8" s="641"/>
      <c r="EK8" s="641"/>
      <c r="EL8" s="641"/>
      <c r="EM8" s="641"/>
      <c r="EN8" s="641"/>
      <c r="EO8" s="641"/>
      <c r="EP8" s="641"/>
      <c r="EQ8" s="641"/>
      <c r="ER8" s="641"/>
      <c r="ES8" s="641"/>
      <c r="ET8" s="641"/>
      <c r="EU8" s="641"/>
      <c r="EV8" s="641"/>
      <c r="EW8" s="641"/>
      <c r="EX8" s="641"/>
      <c r="EY8" s="641"/>
      <c r="EZ8" s="641"/>
      <c r="FA8" s="641"/>
      <c r="FB8" s="641"/>
      <c r="FC8" s="641"/>
      <c r="FD8" s="641"/>
      <c r="FE8" s="641"/>
      <c r="FF8" s="641"/>
      <c r="FG8" s="641"/>
      <c r="FH8" s="641"/>
      <c r="FI8" s="641"/>
      <c r="FJ8" s="641"/>
      <c r="FK8" s="641"/>
      <c r="FL8" s="641"/>
      <c r="FM8" s="641"/>
      <c r="FN8" s="641"/>
      <c r="FO8" s="641"/>
      <c r="FP8" s="641"/>
      <c r="FQ8" s="641"/>
      <c r="FR8" s="641"/>
      <c r="FS8" s="641"/>
      <c r="FT8" s="641"/>
      <c r="FU8" s="641"/>
      <c r="FV8" s="641"/>
      <c r="FW8" s="641"/>
      <c r="FX8" s="641"/>
      <c r="FY8" s="641"/>
      <c r="FZ8" s="641"/>
      <c r="GA8" s="641"/>
      <c r="GB8" s="641"/>
      <c r="GC8" s="641"/>
      <c r="GD8" s="641"/>
      <c r="GE8" s="641"/>
      <c r="GF8" s="641"/>
      <c r="GG8" s="641"/>
      <c r="GH8" s="641"/>
      <c r="GI8" s="641"/>
      <c r="GJ8" s="641"/>
      <c r="GK8" s="641"/>
      <c r="GL8" s="641"/>
      <c r="GM8" s="641"/>
      <c r="GN8" s="641"/>
      <c r="GO8" s="641"/>
      <c r="GP8" s="641"/>
      <c r="GQ8" s="641"/>
      <c r="GR8" s="641"/>
      <c r="GS8" s="641"/>
      <c r="GT8" s="641"/>
      <c r="GU8" s="641"/>
      <c r="GV8" s="641"/>
      <c r="GW8" s="641"/>
      <c r="GX8" s="641"/>
      <c r="GY8" s="641"/>
      <c r="GZ8" s="641"/>
      <c r="HA8" s="641"/>
      <c r="HB8" s="641"/>
      <c r="HC8" s="641"/>
      <c r="HD8" s="641"/>
      <c r="HE8" s="641"/>
      <c r="HF8" s="641"/>
      <c r="HG8" s="641"/>
      <c r="HH8" s="641"/>
      <c r="HI8" s="641"/>
      <c r="HJ8" s="641"/>
      <c r="HK8" s="641"/>
      <c r="HL8" s="641"/>
      <c r="HM8" s="641"/>
      <c r="HN8" s="641"/>
      <c r="HO8" s="641"/>
      <c r="HP8" s="641"/>
      <c r="HQ8" s="641"/>
      <c r="HR8" s="641"/>
      <c r="HS8" s="641"/>
      <c r="HT8" s="641"/>
      <c r="HU8" s="641"/>
      <c r="HV8" s="641"/>
      <c r="HW8" s="641"/>
      <c r="HX8" s="641"/>
      <c r="HY8" s="641"/>
      <c r="HZ8" s="641"/>
      <c r="IA8" s="641"/>
      <c r="IB8" s="641"/>
      <c r="IC8" s="641"/>
      <c r="ID8" s="641"/>
      <c r="IE8" s="641"/>
      <c r="IF8" s="641"/>
      <c r="IG8" s="641"/>
      <c r="IH8" s="641"/>
      <c r="II8" s="641"/>
      <c r="IJ8" s="641"/>
      <c r="IK8" s="641"/>
      <c r="IL8" s="641"/>
      <c r="IM8" s="641"/>
      <c r="IN8" s="641"/>
      <c r="IO8" s="641"/>
      <c r="IP8" s="641"/>
      <c r="IQ8" s="641"/>
      <c r="IR8" s="641"/>
      <c r="IS8" s="641"/>
      <c r="IT8" s="641"/>
      <c r="IU8" s="641"/>
      <c r="IV8" s="641"/>
    </row>
    <row r="9" spans="1:256" ht="15" customHeight="1">
      <c r="A9" s="642">
        <v>4</v>
      </c>
      <c r="B9" s="580" t="s">
        <v>129</v>
      </c>
      <c r="C9" s="580"/>
      <c r="D9" s="581"/>
      <c r="E9" s="581"/>
      <c r="F9" s="583"/>
      <c r="G9" s="584">
        <v>980</v>
      </c>
      <c r="H9" s="584">
        <v>952</v>
      </c>
      <c r="I9" s="584">
        <v>952</v>
      </c>
      <c r="J9" s="368">
        <v>959</v>
      </c>
      <c r="K9" s="581">
        <v>959</v>
      </c>
      <c r="L9" s="582">
        <v>959</v>
      </c>
      <c r="M9" s="581">
        <v>959</v>
      </c>
      <c r="N9" s="582">
        <v>959</v>
      </c>
      <c r="O9" s="581">
        <v>959</v>
      </c>
      <c r="P9" s="675">
        <f t="shared" si="0"/>
        <v>8638</v>
      </c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641"/>
      <c r="BS9" s="641"/>
      <c r="BT9" s="641"/>
      <c r="BU9" s="641"/>
      <c r="BV9" s="641"/>
      <c r="BW9" s="641"/>
      <c r="BX9" s="641"/>
      <c r="BY9" s="641"/>
      <c r="BZ9" s="641"/>
      <c r="CA9" s="641"/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/>
      <c r="CP9" s="641"/>
      <c r="CQ9" s="641"/>
      <c r="CR9" s="641"/>
      <c r="CS9" s="641"/>
      <c r="CT9" s="641"/>
      <c r="CU9" s="641"/>
      <c r="CV9" s="641"/>
      <c r="CW9" s="641"/>
      <c r="CX9" s="641"/>
      <c r="CY9" s="641"/>
      <c r="CZ9" s="641"/>
      <c r="DA9" s="641"/>
      <c r="DB9" s="641"/>
      <c r="DC9" s="641"/>
      <c r="DD9" s="641"/>
      <c r="DE9" s="641"/>
      <c r="DF9" s="641"/>
      <c r="DG9" s="641"/>
      <c r="DH9" s="641"/>
      <c r="DI9" s="641"/>
      <c r="DJ9" s="641"/>
      <c r="DK9" s="641"/>
      <c r="DL9" s="641"/>
      <c r="DM9" s="641"/>
      <c r="DN9" s="641"/>
      <c r="DO9" s="641"/>
      <c r="DP9" s="641"/>
      <c r="DQ9" s="641"/>
      <c r="DR9" s="641"/>
      <c r="DS9" s="641"/>
      <c r="DT9" s="641"/>
      <c r="DU9" s="641"/>
      <c r="DV9" s="641"/>
      <c r="DW9" s="641"/>
      <c r="DX9" s="641"/>
      <c r="DY9" s="641"/>
      <c r="DZ9" s="641"/>
      <c r="EA9" s="641"/>
      <c r="EB9" s="641"/>
      <c r="EC9" s="641"/>
      <c r="ED9" s="641"/>
      <c r="EE9" s="641"/>
      <c r="EF9" s="641"/>
      <c r="EG9" s="641"/>
      <c r="EH9" s="641"/>
      <c r="EI9" s="641"/>
      <c r="EJ9" s="641"/>
      <c r="EK9" s="641"/>
      <c r="EL9" s="641"/>
      <c r="EM9" s="641"/>
      <c r="EN9" s="641"/>
      <c r="EO9" s="641"/>
      <c r="EP9" s="641"/>
      <c r="EQ9" s="641"/>
      <c r="ER9" s="641"/>
      <c r="ES9" s="641"/>
      <c r="ET9" s="641"/>
      <c r="EU9" s="641"/>
      <c r="EV9" s="641"/>
      <c r="EW9" s="641"/>
      <c r="EX9" s="641"/>
      <c r="EY9" s="641"/>
      <c r="EZ9" s="641"/>
      <c r="FA9" s="641"/>
      <c r="FB9" s="641"/>
      <c r="FC9" s="641"/>
      <c r="FD9" s="641"/>
      <c r="FE9" s="641"/>
      <c r="FF9" s="641"/>
      <c r="FG9" s="641"/>
      <c r="FH9" s="641"/>
      <c r="FI9" s="641"/>
      <c r="FJ9" s="641"/>
      <c r="FK9" s="641"/>
      <c r="FL9" s="641"/>
      <c r="FM9" s="641"/>
      <c r="FN9" s="641"/>
      <c r="FO9" s="641"/>
      <c r="FP9" s="641"/>
      <c r="FQ9" s="641"/>
      <c r="FR9" s="641"/>
      <c r="FS9" s="641"/>
      <c r="FT9" s="641"/>
      <c r="FU9" s="641"/>
      <c r="FV9" s="641"/>
      <c r="FW9" s="641"/>
      <c r="FX9" s="641"/>
      <c r="FY9" s="641"/>
      <c r="FZ9" s="641"/>
      <c r="GA9" s="641"/>
      <c r="GB9" s="641"/>
      <c r="GC9" s="641"/>
      <c r="GD9" s="641"/>
      <c r="GE9" s="641"/>
      <c r="GF9" s="641"/>
      <c r="GG9" s="641"/>
      <c r="GH9" s="641"/>
      <c r="GI9" s="641"/>
      <c r="GJ9" s="641"/>
      <c r="GK9" s="641"/>
      <c r="GL9" s="641"/>
      <c r="GM9" s="641"/>
      <c r="GN9" s="641"/>
      <c r="GO9" s="641"/>
      <c r="GP9" s="641"/>
      <c r="GQ9" s="641"/>
      <c r="GR9" s="641"/>
      <c r="GS9" s="641"/>
      <c r="GT9" s="641"/>
      <c r="GU9" s="641"/>
      <c r="GV9" s="641"/>
      <c r="GW9" s="641"/>
      <c r="GX9" s="641"/>
      <c r="GY9" s="641"/>
      <c r="GZ9" s="641"/>
      <c r="HA9" s="641"/>
      <c r="HB9" s="641"/>
      <c r="HC9" s="641"/>
      <c r="HD9" s="641"/>
      <c r="HE9" s="641"/>
      <c r="HF9" s="641"/>
      <c r="HG9" s="641"/>
      <c r="HH9" s="641"/>
      <c r="HI9" s="641"/>
      <c r="HJ9" s="641"/>
      <c r="HK9" s="641"/>
      <c r="HL9" s="641"/>
      <c r="HM9" s="641"/>
      <c r="HN9" s="641"/>
      <c r="HO9" s="641"/>
      <c r="HP9" s="641"/>
      <c r="HQ9" s="641"/>
      <c r="HR9" s="641"/>
      <c r="HS9" s="641"/>
      <c r="HT9" s="641"/>
      <c r="HU9" s="641"/>
      <c r="HV9" s="641"/>
      <c r="HW9" s="641"/>
      <c r="HX9" s="641"/>
      <c r="HY9" s="641"/>
      <c r="HZ9" s="641"/>
      <c r="IA9" s="641"/>
      <c r="IB9" s="641"/>
      <c r="IC9" s="641"/>
      <c r="ID9" s="641"/>
      <c r="IE9" s="641"/>
      <c r="IF9" s="641"/>
      <c r="IG9" s="641"/>
      <c r="IH9" s="641"/>
      <c r="II9" s="641"/>
      <c r="IJ9" s="641"/>
      <c r="IK9" s="641"/>
      <c r="IL9" s="641"/>
      <c r="IM9" s="641"/>
      <c r="IN9" s="641"/>
      <c r="IO9" s="641"/>
      <c r="IP9" s="641"/>
      <c r="IQ9" s="641"/>
      <c r="IR9" s="641"/>
      <c r="IS9" s="641"/>
      <c r="IT9" s="641"/>
      <c r="IU9" s="641"/>
      <c r="IV9" s="641"/>
    </row>
    <row r="10" spans="1:256" ht="15" customHeight="1">
      <c r="A10" s="642">
        <v>5</v>
      </c>
      <c r="B10" s="580" t="s">
        <v>128</v>
      </c>
      <c r="C10" s="580"/>
      <c r="D10" s="581"/>
      <c r="E10" s="581"/>
      <c r="F10" s="583"/>
      <c r="G10" s="584">
        <v>455</v>
      </c>
      <c r="H10" s="584">
        <v>441</v>
      </c>
      <c r="I10" s="584">
        <v>434</v>
      </c>
      <c r="J10" s="368">
        <v>434</v>
      </c>
      <c r="K10" s="581">
        <v>434</v>
      </c>
      <c r="L10" s="582">
        <v>441</v>
      </c>
      <c r="M10" s="581">
        <v>441</v>
      </c>
      <c r="N10" s="582">
        <v>441</v>
      </c>
      <c r="O10" s="581">
        <v>427</v>
      </c>
      <c r="P10" s="675">
        <f t="shared" si="0"/>
        <v>3948</v>
      </c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/>
      <c r="BM10" s="641"/>
      <c r="BN10" s="641"/>
      <c r="BO10" s="641"/>
      <c r="BP10" s="641"/>
      <c r="BQ10" s="641"/>
      <c r="BR10" s="641"/>
      <c r="BS10" s="641"/>
      <c r="BT10" s="641"/>
      <c r="BU10" s="641"/>
      <c r="BV10" s="641"/>
      <c r="BW10" s="641"/>
      <c r="BX10" s="641"/>
      <c r="BY10" s="641"/>
      <c r="BZ10" s="641"/>
      <c r="CA10" s="641"/>
      <c r="CB10" s="641"/>
      <c r="CC10" s="641"/>
      <c r="CD10" s="641"/>
      <c r="CE10" s="641"/>
      <c r="CF10" s="641"/>
      <c r="CG10" s="641"/>
      <c r="CH10" s="641"/>
      <c r="CI10" s="641"/>
      <c r="CJ10" s="641"/>
      <c r="CK10" s="641"/>
      <c r="CL10" s="641"/>
      <c r="CM10" s="641"/>
      <c r="CN10" s="641"/>
      <c r="CO10" s="641"/>
      <c r="CP10" s="641"/>
      <c r="CQ10" s="641"/>
      <c r="CR10" s="641"/>
      <c r="CS10" s="641"/>
      <c r="CT10" s="641"/>
      <c r="CU10" s="641"/>
      <c r="CV10" s="641"/>
      <c r="CW10" s="641"/>
      <c r="CX10" s="641"/>
      <c r="CY10" s="641"/>
      <c r="CZ10" s="641"/>
      <c r="DA10" s="641"/>
      <c r="DB10" s="641"/>
      <c r="DC10" s="641"/>
      <c r="DD10" s="641"/>
      <c r="DE10" s="641"/>
      <c r="DF10" s="641"/>
      <c r="DG10" s="641"/>
      <c r="DH10" s="641"/>
      <c r="DI10" s="641"/>
      <c r="DJ10" s="641"/>
      <c r="DK10" s="641"/>
      <c r="DL10" s="641"/>
      <c r="DM10" s="641"/>
      <c r="DN10" s="641"/>
      <c r="DO10" s="641"/>
      <c r="DP10" s="641"/>
      <c r="DQ10" s="641"/>
      <c r="DR10" s="641"/>
      <c r="DS10" s="641"/>
      <c r="DT10" s="641"/>
      <c r="DU10" s="641"/>
      <c r="DV10" s="641"/>
      <c r="DW10" s="641"/>
      <c r="DX10" s="641"/>
      <c r="DY10" s="641"/>
      <c r="DZ10" s="641"/>
      <c r="EA10" s="641"/>
      <c r="EB10" s="641"/>
      <c r="EC10" s="641"/>
      <c r="ED10" s="641"/>
      <c r="EE10" s="641"/>
      <c r="EF10" s="641"/>
      <c r="EG10" s="641"/>
      <c r="EH10" s="641"/>
      <c r="EI10" s="641"/>
      <c r="EJ10" s="641"/>
      <c r="EK10" s="641"/>
      <c r="EL10" s="641"/>
      <c r="EM10" s="641"/>
      <c r="EN10" s="641"/>
      <c r="EO10" s="641"/>
      <c r="EP10" s="641"/>
      <c r="EQ10" s="641"/>
      <c r="ER10" s="641"/>
      <c r="ES10" s="641"/>
      <c r="ET10" s="641"/>
      <c r="EU10" s="641"/>
      <c r="EV10" s="641"/>
      <c r="EW10" s="641"/>
      <c r="EX10" s="641"/>
      <c r="EY10" s="641"/>
      <c r="EZ10" s="641"/>
      <c r="FA10" s="641"/>
      <c r="FB10" s="641"/>
      <c r="FC10" s="641"/>
      <c r="FD10" s="641"/>
      <c r="FE10" s="641"/>
      <c r="FF10" s="641"/>
      <c r="FG10" s="641"/>
      <c r="FH10" s="641"/>
      <c r="FI10" s="641"/>
      <c r="FJ10" s="641"/>
      <c r="FK10" s="641"/>
      <c r="FL10" s="641"/>
      <c r="FM10" s="641"/>
      <c r="FN10" s="641"/>
      <c r="FO10" s="641"/>
      <c r="FP10" s="641"/>
      <c r="FQ10" s="641"/>
      <c r="FR10" s="641"/>
      <c r="FS10" s="641"/>
      <c r="FT10" s="641"/>
      <c r="FU10" s="641"/>
      <c r="FV10" s="641"/>
      <c r="FW10" s="641"/>
      <c r="FX10" s="641"/>
      <c r="FY10" s="641"/>
      <c r="FZ10" s="641"/>
      <c r="GA10" s="641"/>
      <c r="GB10" s="641"/>
      <c r="GC10" s="641"/>
      <c r="GD10" s="641"/>
      <c r="GE10" s="641"/>
      <c r="GF10" s="641"/>
      <c r="GG10" s="641"/>
      <c r="GH10" s="641"/>
      <c r="GI10" s="641"/>
      <c r="GJ10" s="641"/>
      <c r="GK10" s="641"/>
      <c r="GL10" s="641"/>
      <c r="GM10" s="641"/>
      <c r="GN10" s="641"/>
      <c r="GO10" s="641"/>
      <c r="GP10" s="641"/>
      <c r="GQ10" s="641"/>
      <c r="GR10" s="641"/>
      <c r="GS10" s="641"/>
      <c r="GT10" s="641"/>
      <c r="GU10" s="641"/>
      <c r="GV10" s="641"/>
      <c r="GW10" s="641"/>
      <c r="GX10" s="641"/>
      <c r="GY10" s="641"/>
      <c r="GZ10" s="641"/>
      <c r="HA10" s="641"/>
      <c r="HB10" s="641"/>
      <c r="HC10" s="641"/>
      <c r="HD10" s="641"/>
      <c r="HE10" s="641"/>
      <c r="HF10" s="641"/>
      <c r="HG10" s="641"/>
      <c r="HH10" s="641"/>
      <c r="HI10" s="641"/>
      <c r="HJ10" s="641"/>
      <c r="HK10" s="641"/>
      <c r="HL10" s="641"/>
      <c r="HM10" s="641"/>
      <c r="HN10" s="641"/>
      <c r="HO10" s="641"/>
      <c r="HP10" s="641"/>
      <c r="HQ10" s="641"/>
      <c r="HR10" s="641"/>
      <c r="HS10" s="641"/>
      <c r="HT10" s="641"/>
      <c r="HU10" s="641"/>
      <c r="HV10" s="641"/>
      <c r="HW10" s="641"/>
      <c r="HX10" s="641"/>
      <c r="HY10" s="641"/>
      <c r="HZ10" s="641"/>
      <c r="IA10" s="641"/>
      <c r="IB10" s="641"/>
      <c r="IC10" s="641"/>
      <c r="ID10" s="641"/>
      <c r="IE10" s="641"/>
      <c r="IF10" s="641"/>
      <c r="IG10" s="641"/>
      <c r="IH10" s="641"/>
      <c r="II10" s="641"/>
      <c r="IJ10" s="641"/>
      <c r="IK10" s="641"/>
      <c r="IL10" s="641"/>
      <c r="IM10" s="641"/>
      <c r="IN10" s="641"/>
      <c r="IO10" s="641"/>
      <c r="IP10" s="641"/>
      <c r="IQ10" s="641"/>
      <c r="IR10" s="641"/>
      <c r="IS10" s="641"/>
      <c r="IT10" s="641"/>
      <c r="IU10" s="641"/>
      <c r="IV10" s="641"/>
    </row>
    <row r="11" spans="1:256" ht="15" customHeight="1">
      <c r="A11" s="642">
        <v>6</v>
      </c>
      <c r="B11" s="580" t="s">
        <v>133</v>
      </c>
      <c r="C11" s="580"/>
      <c r="D11" s="581"/>
      <c r="E11" s="581"/>
      <c r="F11" s="583"/>
      <c r="G11" s="584">
        <v>630</v>
      </c>
      <c r="H11" s="584">
        <v>616</v>
      </c>
      <c r="I11" s="584">
        <v>619.5</v>
      </c>
      <c r="J11" s="368">
        <v>619.5</v>
      </c>
      <c r="K11" s="581">
        <v>619.5</v>
      </c>
      <c r="L11" s="582">
        <v>591.5</v>
      </c>
      <c r="M11" s="581">
        <f>1.8+619.5</f>
        <v>621.3</v>
      </c>
      <c r="N11" s="582">
        <v>619.5</v>
      </c>
      <c r="O11" s="581">
        <v>619.5</v>
      </c>
      <c r="P11" s="675">
        <f t="shared" si="0"/>
        <v>5556.3</v>
      </c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  <c r="AX11" s="641"/>
      <c r="AY11" s="641"/>
      <c r="AZ11" s="641"/>
      <c r="BA11" s="641"/>
      <c r="BB11" s="641"/>
      <c r="BC11" s="641"/>
      <c r="BD11" s="641"/>
      <c r="BE11" s="641"/>
      <c r="BF11" s="641"/>
      <c r="BG11" s="641"/>
      <c r="BH11" s="641"/>
      <c r="BI11" s="641"/>
      <c r="BJ11" s="641"/>
      <c r="BK11" s="641"/>
      <c r="BL11" s="641"/>
      <c r="BM11" s="641"/>
      <c r="BN11" s="641"/>
      <c r="BO11" s="641"/>
      <c r="BP11" s="641"/>
      <c r="BQ11" s="641"/>
      <c r="BR11" s="641"/>
      <c r="BS11" s="641"/>
      <c r="BT11" s="641"/>
      <c r="BU11" s="641"/>
      <c r="BV11" s="641"/>
      <c r="BW11" s="641"/>
      <c r="BX11" s="641"/>
      <c r="BY11" s="641"/>
      <c r="BZ11" s="641"/>
      <c r="CA11" s="641"/>
      <c r="CB11" s="641"/>
      <c r="CC11" s="641"/>
      <c r="CD11" s="641"/>
      <c r="CE11" s="641"/>
      <c r="CF11" s="641"/>
      <c r="CG11" s="641"/>
      <c r="CH11" s="641"/>
      <c r="CI11" s="641"/>
      <c r="CJ11" s="641"/>
      <c r="CK11" s="641"/>
      <c r="CL11" s="641"/>
      <c r="CM11" s="641"/>
      <c r="CN11" s="641"/>
      <c r="CO11" s="641"/>
      <c r="CP11" s="641"/>
      <c r="CQ11" s="641"/>
      <c r="CR11" s="641"/>
      <c r="CS11" s="641"/>
      <c r="CT11" s="641"/>
      <c r="CU11" s="641"/>
      <c r="CV11" s="641"/>
      <c r="CW11" s="641"/>
      <c r="CX11" s="641"/>
      <c r="CY11" s="641"/>
      <c r="CZ11" s="641"/>
      <c r="DA11" s="641"/>
      <c r="DB11" s="641"/>
      <c r="DC11" s="641"/>
      <c r="DD11" s="641"/>
      <c r="DE11" s="641"/>
      <c r="DF11" s="641"/>
      <c r="DG11" s="641"/>
      <c r="DH11" s="641"/>
      <c r="DI11" s="641"/>
      <c r="DJ11" s="641"/>
      <c r="DK11" s="641"/>
      <c r="DL11" s="641"/>
      <c r="DM11" s="641"/>
      <c r="DN11" s="641"/>
      <c r="DO11" s="641"/>
      <c r="DP11" s="641"/>
      <c r="DQ11" s="641"/>
      <c r="DR11" s="641"/>
      <c r="DS11" s="641"/>
      <c r="DT11" s="641"/>
      <c r="DU11" s="641"/>
      <c r="DV11" s="641"/>
      <c r="DW11" s="641"/>
      <c r="DX11" s="641"/>
      <c r="DY11" s="641"/>
      <c r="DZ11" s="641"/>
      <c r="EA11" s="641"/>
      <c r="EB11" s="641"/>
      <c r="EC11" s="641"/>
      <c r="ED11" s="641"/>
      <c r="EE11" s="641"/>
      <c r="EF11" s="641"/>
      <c r="EG11" s="641"/>
      <c r="EH11" s="641"/>
      <c r="EI11" s="641"/>
      <c r="EJ11" s="641"/>
      <c r="EK11" s="641"/>
      <c r="EL11" s="641"/>
      <c r="EM11" s="641"/>
      <c r="EN11" s="641"/>
      <c r="EO11" s="641"/>
      <c r="EP11" s="641"/>
      <c r="EQ11" s="641"/>
      <c r="ER11" s="641"/>
      <c r="ES11" s="641"/>
      <c r="ET11" s="641"/>
      <c r="EU11" s="641"/>
      <c r="EV11" s="641"/>
      <c r="EW11" s="641"/>
      <c r="EX11" s="641"/>
      <c r="EY11" s="641"/>
      <c r="EZ11" s="641"/>
      <c r="FA11" s="641"/>
      <c r="FB11" s="641"/>
      <c r="FC11" s="641"/>
      <c r="FD11" s="641"/>
      <c r="FE11" s="641"/>
      <c r="FF11" s="641"/>
      <c r="FG11" s="641"/>
      <c r="FH11" s="641"/>
      <c r="FI11" s="641"/>
      <c r="FJ11" s="641"/>
      <c r="FK11" s="641"/>
      <c r="FL11" s="641"/>
      <c r="FM11" s="641"/>
      <c r="FN11" s="641"/>
      <c r="FO11" s="641"/>
      <c r="FP11" s="641"/>
      <c r="FQ11" s="641"/>
      <c r="FR11" s="641"/>
      <c r="FS11" s="641"/>
      <c r="FT11" s="641"/>
      <c r="FU11" s="641"/>
      <c r="FV11" s="641"/>
      <c r="FW11" s="641"/>
      <c r="FX11" s="641"/>
      <c r="FY11" s="641"/>
      <c r="FZ11" s="641"/>
      <c r="GA11" s="641"/>
      <c r="GB11" s="641"/>
      <c r="GC11" s="641"/>
      <c r="GD11" s="641"/>
      <c r="GE11" s="641"/>
      <c r="GF11" s="641"/>
      <c r="GG11" s="641"/>
      <c r="GH11" s="641"/>
      <c r="GI11" s="641"/>
      <c r="GJ11" s="641"/>
      <c r="GK11" s="641"/>
      <c r="GL11" s="641"/>
      <c r="GM11" s="641"/>
      <c r="GN11" s="641"/>
      <c r="GO11" s="641"/>
      <c r="GP11" s="641"/>
      <c r="GQ11" s="641"/>
      <c r="GR11" s="641"/>
      <c r="GS11" s="641"/>
      <c r="GT11" s="641"/>
      <c r="GU11" s="641"/>
      <c r="GV11" s="641"/>
      <c r="GW11" s="641"/>
      <c r="GX11" s="641"/>
      <c r="GY11" s="641"/>
      <c r="GZ11" s="641"/>
      <c r="HA11" s="641"/>
      <c r="HB11" s="641"/>
      <c r="HC11" s="641"/>
      <c r="HD11" s="641"/>
      <c r="HE11" s="641"/>
      <c r="HF11" s="641"/>
      <c r="HG11" s="641"/>
      <c r="HH11" s="641"/>
      <c r="HI11" s="641"/>
      <c r="HJ11" s="641"/>
      <c r="HK11" s="641"/>
      <c r="HL11" s="641"/>
      <c r="HM11" s="641"/>
      <c r="HN11" s="641"/>
      <c r="HO11" s="641"/>
      <c r="HP11" s="641"/>
      <c r="HQ11" s="641"/>
      <c r="HR11" s="641"/>
      <c r="HS11" s="641"/>
      <c r="HT11" s="641"/>
      <c r="HU11" s="641"/>
      <c r="HV11" s="641"/>
      <c r="HW11" s="641"/>
      <c r="HX11" s="641"/>
      <c r="HY11" s="641"/>
      <c r="HZ11" s="641"/>
      <c r="IA11" s="641"/>
      <c r="IB11" s="641"/>
      <c r="IC11" s="641"/>
      <c r="ID11" s="641"/>
      <c r="IE11" s="641"/>
      <c r="IF11" s="641"/>
      <c r="IG11" s="641"/>
      <c r="IH11" s="641"/>
      <c r="II11" s="641"/>
      <c r="IJ11" s="641"/>
      <c r="IK11" s="641"/>
      <c r="IL11" s="641"/>
      <c r="IM11" s="641"/>
      <c r="IN11" s="641"/>
      <c r="IO11" s="641"/>
      <c r="IP11" s="641"/>
      <c r="IQ11" s="641"/>
      <c r="IR11" s="641"/>
      <c r="IS11" s="641"/>
      <c r="IT11" s="641"/>
      <c r="IU11" s="641"/>
      <c r="IV11" s="641"/>
    </row>
    <row r="12" spans="1:256" ht="15" customHeight="1">
      <c r="A12" s="642">
        <v>7</v>
      </c>
      <c r="B12" s="580" t="s">
        <v>134</v>
      </c>
      <c r="C12" s="580"/>
      <c r="D12" s="581"/>
      <c r="E12" s="581"/>
      <c r="F12" s="583"/>
      <c r="G12" s="584">
        <v>630</v>
      </c>
      <c r="H12" s="584">
        <v>591.5</v>
      </c>
      <c r="I12" s="584">
        <v>574</v>
      </c>
      <c r="J12" s="368">
        <v>571.7</v>
      </c>
      <c r="K12" s="581">
        <v>567</v>
      </c>
      <c r="L12" s="582">
        <v>595</v>
      </c>
      <c r="M12" s="581">
        <v>581</v>
      </c>
      <c r="N12" s="582">
        <v>581</v>
      </c>
      <c r="O12" s="581">
        <v>581</v>
      </c>
      <c r="P12" s="675">
        <f t="shared" si="0"/>
        <v>5272.2</v>
      </c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BM12" s="641"/>
      <c r="BN12" s="641"/>
      <c r="BO12" s="641"/>
      <c r="BP12" s="641"/>
      <c r="BQ12" s="641"/>
      <c r="BR12" s="641"/>
      <c r="BS12" s="641"/>
      <c r="BT12" s="641"/>
      <c r="BU12" s="641"/>
      <c r="BV12" s="641"/>
      <c r="BW12" s="641"/>
      <c r="BX12" s="641"/>
      <c r="BY12" s="641"/>
      <c r="BZ12" s="641"/>
      <c r="CA12" s="641"/>
      <c r="CB12" s="641"/>
      <c r="CC12" s="641"/>
      <c r="CD12" s="641"/>
      <c r="CE12" s="641"/>
      <c r="CF12" s="641"/>
      <c r="CG12" s="641"/>
      <c r="CH12" s="641"/>
      <c r="CI12" s="641"/>
      <c r="CJ12" s="641"/>
      <c r="CK12" s="641"/>
      <c r="CL12" s="641"/>
      <c r="CM12" s="641"/>
      <c r="CN12" s="641"/>
      <c r="CO12" s="641"/>
      <c r="CP12" s="641"/>
      <c r="CQ12" s="641"/>
      <c r="CR12" s="641"/>
      <c r="CS12" s="641"/>
      <c r="CT12" s="641"/>
      <c r="CU12" s="641"/>
      <c r="CV12" s="641"/>
      <c r="CW12" s="641"/>
      <c r="CX12" s="641"/>
      <c r="CY12" s="641"/>
      <c r="CZ12" s="641"/>
      <c r="DA12" s="641"/>
      <c r="DB12" s="641"/>
      <c r="DC12" s="641"/>
      <c r="DD12" s="641"/>
      <c r="DE12" s="641"/>
      <c r="DF12" s="641"/>
      <c r="DG12" s="641"/>
      <c r="DH12" s="641"/>
      <c r="DI12" s="641"/>
      <c r="DJ12" s="641"/>
      <c r="DK12" s="641"/>
      <c r="DL12" s="641"/>
      <c r="DM12" s="641"/>
      <c r="DN12" s="641"/>
      <c r="DO12" s="641"/>
      <c r="DP12" s="641"/>
      <c r="DQ12" s="641"/>
      <c r="DR12" s="641"/>
      <c r="DS12" s="641"/>
      <c r="DT12" s="641"/>
      <c r="DU12" s="641"/>
      <c r="DV12" s="641"/>
      <c r="DW12" s="641"/>
      <c r="DX12" s="641"/>
      <c r="DY12" s="641"/>
      <c r="DZ12" s="641"/>
      <c r="EA12" s="641"/>
      <c r="EB12" s="641"/>
      <c r="EC12" s="641"/>
      <c r="ED12" s="641"/>
      <c r="EE12" s="641"/>
      <c r="EF12" s="641"/>
      <c r="EG12" s="641"/>
      <c r="EH12" s="641"/>
      <c r="EI12" s="641"/>
      <c r="EJ12" s="641"/>
      <c r="EK12" s="641"/>
      <c r="EL12" s="641"/>
      <c r="EM12" s="641"/>
      <c r="EN12" s="641"/>
      <c r="EO12" s="641"/>
      <c r="EP12" s="641"/>
      <c r="EQ12" s="641"/>
      <c r="ER12" s="641"/>
      <c r="ES12" s="641"/>
      <c r="ET12" s="641"/>
      <c r="EU12" s="641"/>
      <c r="EV12" s="641"/>
      <c r="EW12" s="641"/>
      <c r="EX12" s="641"/>
      <c r="EY12" s="641"/>
      <c r="EZ12" s="641"/>
      <c r="FA12" s="641"/>
      <c r="FB12" s="641"/>
      <c r="FC12" s="641"/>
      <c r="FD12" s="641"/>
      <c r="FE12" s="641"/>
      <c r="FF12" s="641"/>
      <c r="FG12" s="641"/>
      <c r="FH12" s="641"/>
      <c r="FI12" s="641"/>
      <c r="FJ12" s="641"/>
      <c r="FK12" s="641"/>
      <c r="FL12" s="641"/>
      <c r="FM12" s="641"/>
      <c r="FN12" s="641"/>
      <c r="FO12" s="641"/>
      <c r="FP12" s="641"/>
      <c r="FQ12" s="641"/>
      <c r="FR12" s="641"/>
      <c r="FS12" s="641"/>
      <c r="FT12" s="641"/>
      <c r="FU12" s="641"/>
      <c r="FV12" s="641"/>
      <c r="FW12" s="641"/>
      <c r="FX12" s="641"/>
      <c r="FY12" s="641"/>
      <c r="FZ12" s="641"/>
      <c r="GA12" s="641"/>
      <c r="GB12" s="641"/>
      <c r="GC12" s="641"/>
      <c r="GD12" s="641"/>
      <c r="GE12" s="641"/>
      <c r="GF12" s="641"/>
      <c r="GG12" s="641"/>
      <c r="GH12" s="641"/>
      <c r="GI12" s="641"/>
      <c r="GJ12" s="641"/>
      <c r="GK12" s="641"/>
      <c r="GL12" s="641"/>
      <c r="GM12" s="641"/>
      <c r="GN12" s="641"/>
      <c r="GO12" s="641"/>
      <c r="GP12" s="641"/>
      <c r="GQ12" s="641"/>
      <c r="GR12" s="641"/>
      <c r="GS12" s="641"/>
      <c r="GT12" s="641"/>
      <c r="GU12" s="641"/>
      <c r="GV12" s="641"/>
      <c r="GW12" s="641"/>
      <c r="GX12" s="641"/>
      <c r="GY12" s="641"/>
      <c r="GZ12" s="641"/>
      <c r="HA12" s="641"/>
      <c r="HB12" s="641"/>
      <c r="HC12" s="641"/>
      <c r="HD12" s="641"/>
      <c r="HE12" s="641"/>
      <c r="HF12" s="641"/>
      <c r="HG12" s="641"/>
      <c r="HH12" s="641"/>
      <c r="HI12" s="641"/>
      <c r="HJ12" s="641"/>
      <c r="HK12" s="641"/>
      <c r="HL12" s="641"/>
      <c r="HM12" s="641"/>
      <c r="HN12" s="641"/>
      <c r="HO12" s="641"/>
      <c r="HP12" s="641"/>
      <c r="HQ12" s="641"/>
      <c r="HR12" s="641"/>
      <c r="HS12" s="641"/>
      <c r="HT12" s="641"/>
      <c r="HU12" s="641"/>
      <c r="HV12" s="641"/>
      <c r="HW12" s="641"/>
      <c r="HX12" s="641"/>
      <c r="HY12" s="641"/>
      <c r="HZ12" s="641"/>
      <c r="IA12" s="641"/>
      <c r="IB12" s="641"/>
      <c r="IC12" s="641"/>
      <c r="ID12" s="641"/>
      <c r="IE12" s="641"/>
      <c r="IF12" s="641"/>
      <c r="IG12" s="641"/>
      <c r="IH12" s="641"/>
      <c r="II12" s="641"/>
      <c r="IJ12" s="641"/>
      <c r="IK12" s="641"/>
      <c r="IL12" s="641"/>
      <c r="IM12" s="641"/>
      <c r="IN12" s="641"/>
      <c r="IO12" s="641"/>
      <c r="IP12" s="641"/>
      <c r="IQ12" s="641"/>
      <c r="IR12" s="641"/>
      <c r="IS12" s="641"/>
      <c r="IT12" s="641"/>
      <c r="IU12" s="641"/>
      <c r="IV12" s="641"/>
    </row>
    <row r="13" spans="1:256" ht="15" customHeight="1">
      <c r="A13" s="642">
        <v>8</v>
      </c>
      <c r="B13" s="580" t="s">
        <v>135</v>
      </c>
      <c r="C13" s="580"/>
      <c r="D13" s="581"/>
      <c r="E13" s="581"/>
      <c r="F13" s="583"/>
      <c r="G13" s="584">
        <v>805</v>
      </c>
      <c r="H13" s="584">
        <v>787.5</v>
      </c>
      <c r="I13" s="584">
        <v>787.5</v>
      </c>
      <c r="J13" s="368">
        <v>787.5</v>
      </c>
      <c r="K13" s="581">
        <v>780.5</v>
      </c>
      <c r="L13" s="582">
        <v>955.5</v>
      </c>
      <c r="M13" s="581">
        <f>570.5+385</f>
        <v>955.5</v>
      </c>
      <c r="N13" s="582">
        <v>955.5</v>
      </c>
      <c r="O13" s="581">
        <v>955.5</v>
      </c>
      <c r="P13" s="675">
        <f t="shared" si="0"/>
        <v>7770</v>
      </c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1"/>
      <c r="AH13" s="641"/>
      <c r="AI13" s="641"/>
      <c r="AJ13" s="641"/>
      <c r="AK13" s="641"/>
      <c r="AL13" s="641"/>
      <c r="AM13" s="641"/>
      <c r="AN13" s="641"/>
      <c r="AO13" s="641"/>
      <c r="AP13" s="641"/>
      <c r="AQ13" s="641"/>
      <c r="AR13" s="641"/>
      <c r="AS13" s="641"/>
      <c r="AT13" s="641"/>
      <c r="AU13" s="641"/>
      <c r="AV13" s="641"/>
      <c r="AW13" s="641"/>
      <c r="AX13" s="641"/>
      <c r="AY13" s="641"/>
      <c r="AZ13" s="641"/>
      <c r="BA13" s="641"/>
      <c r="BB13" s="641"/>
      <c r="BC13" s="641"/>
      <c r="BD13" s="641"/>
      <c r="BE13" s="641"/>
      <c r="BF13" s="641"/>
      <c r="BG13" s="641"/>
      <c r="BH13" s="641"/>
      <c r="BI13" s="641"/>
      <c r="BJ13" s="641"/>
      <c r="BK13" s="641"/>
      <c r="BL13" s="641"/>
      <c r="BM13" s="641"/>
      <c r="BN13" s="641"/>
      <c r="BO13" s="641"/>
      <c r="BP13" s="641"/>
      <c r="BQ13" s="641"/>
      <c r="BR13" s="641"/>
      <c r="BS13" s="641"/>
      <c r="BT13" s="641"/>
      <c r="BU13" s="641"/>
      <c r="BV13" s="641"/>
      <c r="BW13" s="641"/>
      <c r="BX13" s="641"/>
      <c r="BY13" s="641"/>
      <c r="BZ13" s="641"/>
      <c r="CA13" s="641"/>
      <c r="CB13" s="641"/>
      <c r="CC13" s="641"/>
      <c r="CD13" s="641"/>
      <c r="CE13" s="641"/>
      <c r="CF13" s="641"/>
      <c r="CG13" s="641"/>
      <c r="CH13" s="641"/>
      <c r="CI13" s="641"/>
      <c r="CJ13" s="641"/>
      <c r="CK13" s="641"/>
      <c r="CL13" s="641"/>
      <c r="CM13" s="641"/>
      <c r="CN13" s="641"/>
      <c r="CO13" s="641"/>
      <c r="CP13" s="641"/>
      <c r="CQ13" s="641"/>
      <c r="CR13" s="641"/>
      <c r="CS13" s="641"/>
      <c r="CT13" s="641"/>
      <c r="CU13" s="641"/>
      <c r="CV13" s="641"/>
      <c r="CW13" s="641"/>
      <c r="CX13" s="641"/>
      <c r="CY13" s="641"/>
      <c r="CZ13" s="641"/>
      <c r="DA13" s="641"/>
      <c r="DB13" s="641"/>
      <c r="DC13" s="641"/>
      <c r="DD13" s="641"/>
      <c r="DE13" s="641"/>
      <c r="DF13" s="641"/>
      <c r="DG13" s="641"/>
      <c r="DH13" s="641"/>
      <c r="DI13" s="641"/>
      <c r="DJ13" s="641"/>
      <c r="DK13" s="641"/>
      <c r="DL13" s="641"/>
      <c r="DM13" s="641"/>
      <c r="DN13" s="641"/>
      <c r="DO13" s="641"/>
      <c r="DP13" s="641"/>
      <c r="DQ13" s="641"/>
      <c r="DR13" s="641"/>
      <c r="DS13" s="641"/>
      <c r="DT13" s="641"/>
      <c r="DU13" s="641"/>
      <c r="DV13" s="641"/>
      <c r="DW13" s="641"/>
      <c r="DX13" s="641"/>
      <c r="DY13" s="641"/>
      <c r="DZ13" s="641"/>
      <c r="EA13" s="641"/>
      <c r="EB13" s="641"/>
      <c r="EC13" s="641"/>
      <c r="ED13" s="641"/>
      <c r="EE13" s="641"/>
      <c r="EF13" s="641"/>
      <c r="EG13" s="641"/>
      <c r="EH13" s="641"/>
      <c r="EI13" s="641"/>
      <c r="EJ13" s="641"/>
      <c r="EK13" s="641"/>
      <c r="EL13" s="641"/>
      <c r="EM13" s="641"/>
      <c r="EN13" s="641"/>
      <c r="EO13" s="641"/>
      <c r="EP13" s="641"/>
      <c r="EQ13" s="641"/>
      <c r="ER13" s="641"/>
      <c r="ES13" s="641"/>
      <c r="ET13" s="641"/>
      <c r="EU13" s="641"/>
      <c r="EV13" s="641"/>
      <c r="EW13" s="641"/>
      <c r="EX13" s="641"/>
      <c r="EY13" s="641"/>
      <c r="EZ13" s="641"/>
      <c r="FA13" s="641"/>
      <c r="FB13" s="641"/>
      <c r="FC13" s="641"/>
      <c r="FD13" s="641"/>
      <c r="FE13" s="641"/>
      <c r="FF13" s="641"/>
      <c r="FG13" s="641"/>
      <c r="FH13" s="641"/>
      <c r="FI13" s="641"/>
      <c r="FJ13" s="641"/>
      <c r="FK13" s="641"/>
      <c r="FL13" s="641"/>
      <c r="FM13" s="641"/>
      <c r="FN13" s="641"/>
      <c r="FO13" s="641"/>
      <c r="FP13" s="641"/>
      <c r="FQ13" s="641"/>
      <c r="FR13" s="641"/>
      <c r="FS13" s="641"/>
      <c r="FT13" s="641"/>
      <c r="FU13" s="641"/>
      <c r="FV13" s="641"/>
      <c r="FW13" s="641"/>
      <c r="FX13" s="641"/>
      <c r="FY13" s="641"/>
      <c r="FZ13" s="641"/>
      <c r="GA13" s="641"/>
      <c r="GB13" s="641"/>
      <c r="GC13" s="641"/>
      <c r="GD13" s="641"/>
      <c r="GE13" s="641"/>
      <c r="GF13" s="641"/>
      <c r="GG13" s="641"/>
      <c r="GH13" s="641"/>
      <c r="GI13" s="641"/>
      <c r="GJ13" s="641"/>
      <c r="GK13" s="641"/>
      <c r="GL13" s="641"/>
      <c r="GM13" s="641"/>
      <c r="GN13" s="641"/>
      <c r="GO13" s="641"/>
      <c r="GP13" s="641"/>
      <c r="GQ13" s="641"/>
      <c r="GR13" s="641"/>
      <c r="GS13" s="641"/>
      <c r="GT13" s="641"/>
      <c r="GU13" s="641"/>
      <c r="GV13" s="641"/>
      <c r="GW13" s="641"/>
      <c r="GX13" s="641"/>
      <c r="GY13" s="641"/>
      <c r="GZ13" s="641"/>
      <c r="HA13" s="641"/>
      <c r="HB13" s="641"/>
      <c r="HC13" s="641"/>
      <c r="HD13" s="641"/>
      <c r="HE13" s="641"/>
      <c r="HF13" s="641"/>
      <c r="HG13" s="641"/>
      <c r="HH13" s="641"/>
      <c r="HI13" s="641"/>
      <c r="HJ13" s="641"/>
      <c r="HK13" s="641"/>
      <c r="HL13" s="641"/>
      <c r="HM13" s="641"/>
      <c r="HN13" s="641"/>
      <c r="HO13" s="641"/>
      <c r="HP13" s="641"/>
      <c r="HQ13" s="641"/>
      <c r="HR13" s="641"/>
      <c r="HS13" s="641"/>
      <c r="HT13" s="641"/>
      <c r="HU13" s="641"/>
      <c r="HV13" s="641"/>
      <c r="HW13" s="641"/>
      <c r="HX13" s="641"/>
      <c r="HY13" s="641"/>
      <c r="HZ13" s="641"/>
      <c r="IA13" s="641"/>
      <c r="IB13" s="641"/>
      <c r="IC13" s="641"/>
      <c r="ID13" s="641"/>
      <c r="IE13" s="641"/>
      <c r="IF13" s="641"/>
      <c r="IG13" s="641"/>
      <c r="IH13" s="641"/>
      <c r="II13" s="641"/>
      <c r="IJ13" s="641"/>
      <c r="IK13" s="641"/>
      <c r="IL13" s="641"/>
      <c r="IM13" s="641"/>
      <c r="IN13" s="641"/>
      <c r="IO13" s="641"/>
      <c r="IP13" s="641"/>
      <c r="IQ13" s="641"/>
      <c r="IR13" s="641"/>
      <c r="IS13" s="641"/>
      <c r="IT13" s="641"/>
      <c r="IU13" s="641"/>
      <c r="IV13" s="641"/>
    </row>
    <row r="14" spans="1:256" ht="15" customHeight="1">
      <c r="A14" s="642">
        <v>9</v>
      </c>
      <c r="B14" s="580" t="s">
        <v>136</v>
      </c>
      <c r="C14" s="580"/>
      <c r="D14" s="581"/>
      <c r="E14" s="581"/>
      <c r="F14" s="583"/>
      <c r="G14" s="584">
        <v>630</v>
      </c>
      <c r="H14" s="584">
        <v>612.5</v>
      </c>
      <c r="I14" s="584">
        <v>612.5</v>
      </c>
      <c r="J14" s="368">
        <v>612.5</v>
      </c>
      <c r="K14" s="581">
        <v>609</v>
      </c>
      <c r="L14" s="643">
        <v>609</v>
      </c>
      <c r="M14" s="581">
        <v>609</v>
      </c>
      <c r="N14" s="643">
        <v>602</v>
      </c>
      <c r="O14" s="581">
        <v>602</v>
      </c>
      <c r="P14" s="675">
        <f t="shared" si="0"/>
        <v>5498.5</v>
      </c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  <c r="BF14" s="641"/>
      <c r="BG14" s="641"/>
      <c r="BH14" s="641"/>
      <c r="BI14" s="641"/>
      <c r="BJ14" s="641"/>
      <c r="BK14" s="641"/>
      <c r="BL14" s="641"/>
      <c r="BM14" s="641"/>
      <c r="BN14" s="641"/>
      <c r="BO14" s="641"/>
      <c r="BP14" s="641"/>
      <c r="BQ14" s="641"/>
      <c r="BR14" s="641"/>
      <c r="BS14" s="641"/>
      <c r="BT14" s="641"/>
      <c r="BU14" s="641"/>
      <c r="BV14" s="641"/>
      <c r="BW14" s="641"/>
      <c r="BX14" s="641"/>
      <c r="BY14" s="641"/>
      <c r="BZ14" s="641"/>
      <c r="CA14" s="641"/>
      <c r="CB14" s="641"/>
      <c r="CC14" s="641"/>
      <c r="CD14" s="641"/>
      <c r="CE14" s="641"/>
      <c r="CF14" s="641"/>
      <c r="CG14" s="641"/>
      <c r="CH14" s="641"/>
      <c r="CI14" s="641"/>
      <c r="CJ14" s="641"/>
      <c r="CK14" s="641"/>
      <c r="CL14" s="641"/>
      <c r="CM14" s="641"/>
      <c r="CN14" s="641"/>
      <c r="CO14" s="641"/>
      <c r="CP14" s="641"/>
      <c r="CQ14" s="641"/>
      <c r="CR14" s="641"/>
      <c r="CS14" s="641"/>
      <c r="CT14" s="641"/>
      <c r="CU14" s="641"/>
      <c r="CV14" s="641"/>
      <c r="CW14" s="641"/>
      <c r="CX14" s="641"/>
      <c r="CY14" s="641"/>
      <c r="CZ14" s="641"/>
      <c r="DA14" s="641"/>
      <c r="DB14" s="641"/>
      <c r="DC14" s="641"/>
      <c r="DD14" s="641"/>
      <c r="DE14" s="641"/>
      <c r="DF14" s="641"/>
      <c r="DG14" s="641"/>
      <c r="DH14" s="641"/>
      <c r="DI14" s="641"/>
      <c r="DJ14" s="641"/>
      <c r="DK14" s="641"/>
      <c r="DL14" s="641"/>
      <c r="DM14" s="641"/>
      <c r="DN14" s="641"/>
      <c r="DO14" s="641"/>
      <c r="DP14" s="641"/>
      <c r="DQ14" s="641"/>
      <c r="DR14" s="641"/>
      <c r="DS14" s="641"/>
      <c r="DT14" s="641"/>
      <c r="DU14" s="641"/>
      <c r="DV14" s="641"/>
      <c r="DW14" s="641"/>
      <c r="DX14" s="641"/>
      <c r="DY14" s="641"/>
      <c r="DZ14" s="641"/>
      <c r="EA14" s="641"/>
      <c r="EB14" s="641"/>
      <c r="EC14" s="641"/>
      <c r="ED14" s="641"/>
      <c r="EE14" s="641"/>
      <c r="EF14" s="641"/>
      <c r="EG14" s="641"/>
      <c r="EH14" s="641"/>
      <c r="EI14" s="641"/>
      <c r="EJ14" s="641"/>
      <c r="EK14" s="641"/>
      <c r="EL14" s="641"/>
      <c r="EM14" s="641"/>
      <c r="EN14" s="641"/>
      <c r="EO14" s="641"/>
      <c r="EP14" s="641"/>
      <c r="EQ14" s="641"/>
      <c r="ER14" s="641"/>
      <c r="ES14" s="641"/>
      <c r="ET14" s="641"/>
      <c r="EU14" s="641"/>
      <c r="EV14" s="641"/>
      <c r="EW14" s="641"/>
      <c r="EX14" s="641"/>
      <c r="EY14" s="641"/>
      <c r="EZ14" s="641"/>
      <c r="FA14" s="641"/>
      <c r="FB14" s="641"/>
      <c r="FC14" s="641"/>
      <c r="FD14" s="641"/>
      <c r="FE14" s="641"/>
      <c r="FF14" s="641"/>
      <c r="FG14" s="641"/>
      <c r="FH14" s="641"/>
      <c r="FI14" s="641"/>
      <c r="FJ14" s="641"/>
      <c r="FK14" s="641"/>
      <c r="FL14" s="641"/>
      <c r="FM14" s="641"/>
      <c r="FN14" s="641"/>
      <c r="FO14" s="641"/>
      <c r="FP14" s="641"/>
      <c r="FQ14" s="641"/>
      <c r="FR14" s="641"/>
      <c r="FS14" s="641"/>
      <c r="FT14" s="641"/>
      <c r="FU14" s="641"/>
      <c r="FV14" s="641"/>
      <c r="FW14" s="641"/>
      <c r="FX14" s="641"/>
      <c r="FY14" s="641"/>
      <c r="FZ14" s="641"/>
      <c r="GA14" s="641"/>
      <c r="GB14" s="641"/>
      <c r="GC14" s="641"/>
      <c r="GD14" s="641"/>
      <c r="GE14" s="641"/>
      <c r="GF14" s="641"/>
      <c r="GG14" s="641"/>
      <c r="GH14" s="641"/>
      <c r="GI14" s="641"/>
      <c r="GJ14" s="641"/>
      <c r="GK14" s="641"/>
      <c r="GL14" s="641"/>
      <c r="GM14" s="641"/>
      <c r="GN14" s="641"/>
      <c r="GO14" s="641"/>
      <c r="GP14" s="641"/>
      <c r="GQ14" s="641"/>
      <c r="GR14" s="641"/>
      <c r="GS14" s="641"/>
      <c r="GT14" s="641"/>
      <c r="GU14" s="641"/>
      <c r="GV14" s="641"/>
      <c r="GW14" s="641"/>
      <c r="GX14" s="641"/>
      <c r="GY14" s="641"/>
      <c r="GZ14" s="641"/>
      <c r="HA14" s="641"/>
      <c r="HB14" s="641"/>
      <c r="HC14" s="641"/>
      <c r="HD14" s="641"/>
      <c r="HE14" s="641"/>
      <c r="HF14" s="641"/>
      <c r="HG14" s="641"/>
      <c r="HH14" s="641"/>
      <c r="HI14" s="641"/>
      <c r="HJ14" s="641"/>
      <c r="HK14" s="641"/>
      <c r="HL14" s="641"/>
      <c r="HM14" s="641"/>
      <c r="HN14" s="641"/>
      <c r="HO14" s="641"/>
      <c r="HP14" s="641"/>
      <c r="HQ14" s="641"/>
      <c r="HR14" s="641"/>
      <c r="HS14" s="641"/>
      <c r="HT14" s="641"/>
      <c r="HU14" s="641"/>
      <c r="HV14" s="641"/>
      <c r="HW14" s="641"/>
      <c r="HX14" s="641"/>
      <c r="HY14" s="641"/>
      <c r="HZ14" s="641"/>
      <c r="IA14" s="641"/>
      <c r="IB14" s="641"/>
      <c r="IC14" s="641"/>
      <c r="ID14" s="641"/>
      <c r="IE14" s="641"/>
      <c r="IF14" s="641"/>
      <c r="IG14" s="641"/>
      <c r="IH14" s="641"/>
      <c r="II14" s="641"/>
      <c r="IJ14" s="641"/>
      <c r="IK14" s="641"/>
      <c r="IL14" s="641"/>
      <c r="IM14" s="641"/>
      <c r="IN14" s="641"/>
      <c r="IO14" s="641"/>
      <c r="IP14" s="641"/>
      <c r="IQ14" s="641"/>
      <c r="IR14" s="641"/>
      <c r="IS14" s="641"/>
      <c r="IT14" s="641"/>
      <c r="IU14" s="641"/>
      <c r="IV14" s="641"/>
    </row>
    <row r="15" spans="1:256" ht="15" customHeight="1">
      <c r="A15" s="642">
        <v>10</v>
      </c>
      <c r="B15" s="580" t="s">
        <v>137</v>
      </c>
      <c r="C15" s="580"/>
      <c r="D15" s="581"/>
      <c r="E15" s="581"/>
      <c r="F15" s="583"/>
      <c r="G15" s="584">
        <v>490</v>
      </c>
      <c r="H15" s="584">
        <v>483</v>
      </c>
      <c r="I15" s="584">
        <v>483</v>
      </c>
      <c r="J15" s="368">
        <v>505.3</v>
      </c>
      <c r="K15" s="581">
        <v>511</v>
      </c>
      <c r="L15" s="582">
        <v>658</v>
      </c>
      <c r="M15" s="581">
        <v>651</v>
      </c>
      <c r="N15" s="582">
        <v>651</v>
      </c>
      <c r="O15" s="581">
        <v>651</v>
      </c>
      <c r="P15" s="675">
        <f t="shared" si="0"/>
        <v>5083.3</v>
      </c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1"/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1"/>
      <c r="BR15" s="641"/>
      <c r="BS15" s="641"/>
      <c r="BT15" s="641"/>
      <c r="BU15" s="641"/>
      <c r="BV15" s="641"/>
      <c r="BW15" s="641"/>
      <c r="BX15" s="641"/>
      <c r="BY15" s="641"/>
      <c r="BZ15" s="641"/>
      <c r="CA15" s="641"/>
      <c r="CB15" s="641"/>
      <c r="CC15" s="641"/>
      <c r="CD15" s="641"/>
      <c r="CE15" s="641"/>
      <c r="CF15" s="641"/>
      <c r="CG15" s="641"/>
      <c r="CH15" s="641"/>
      <c r="CI15" s="641"/>
      <c r="CJ15" s="641"/>
      <c r="CK15" s="641"/>
      <c r="CL15" s="641"/>
      <c r="CM15" s="641"/>
      <c r="CN15" s="641"/>
      <c r="CO15" s="641"/>
      <c r="CP15" s="641"/>
      <c r="CQ15" s="641"/>
      <c r="CR15" s="641"/>
      <c r="CS15" s="641"/>
      <c r="CT15" s="641"/>
      <c r="CU15" s="641"/>
      <c r="CV15" s="641"/>
      <c r="CW15" s="641"/>
      <c r="CX15" s="641"/>
      <c r="CY15" s="641"/>
      <c r="CZ15" s="641"/>
      <c r="DA15" s="641"/>
      <c r="DB15" s="641"/>
      <c r="DC15" s="641"/>
      <c r="DD15" s="641"/>
      <c r="DE15" s="641"/>
      <c r="DF15" s="641"/>
      <c r="DG15" s="641"/>
      <c r="DH15" s="641"/>
      <c r="DI15" s="641"/>
      <c r="DJ15" s="641"/>
      <c r="DK15" s="641"/>
      <c r="DL15" s="641"/>
      <c r="DM15" s="641"/>
      <c r="DN15" s="641"/>
      <c r="DO15" s="641"/>
      <c r="DP15" s="641"/>
      <c r="DQ15" s="641"/>
      <c r="DR15" s="641"/>
      <c r="DS15" s="641"/>
      <c r="DT15" s="641"/>
      <c r="DU15" s="641"/>
      <c r="DV15" s="641"/>
      <c r="DW15" s="641"/>
      <c r="DX15" s="641"/>
      <c r="DY15" s="641"/>
      <c r="DZ15" s="641"/>
      <c r="EA15" s="641"/>
      <c r="EB15" s="641"/>
      <c r="EC15" s="641"/>
      <c r="ED15" s="641"/>
      <c r="EE15" s="641"/>
      <c r="EF15" s="641"/>
      <c r="EG15" s="641"/>
      <c r="EH15" s="641"/>
      <c r="EI15" s="641"/>
      <c r="EJ15" s="641"/>
      <c r="EK15" s="641"/>
      <c r="EL15" s="641"/>
      <c r="EM15" s="641"/>
      <c r="EN15" s="641"/>
      <c r="EO15" s="641"/>
      <c r="EP15" s="641"/>
      <c r="EQ15" s="641"/>
      <c r="ER15" s="641"/>
      <c r="ES15" s="641"/>
      <c r="ET15" s="641"/>
      <c r="EU15" s="641"/>
      <c r="EV15" s="641"/>
      <c r="EW15" s="641"/>
      <c r="EX15" s="641"/>
      <c r="EY15" s="641"/>
      <c r="EZ15" s="641"/>
      <c r="FA15" s="641"/>
      <c r="FB15" s="641"/>
      <c r="FC15" s="641"/>
      <c r="FD15" s="641"/>
      <c r="FE15" s="641"/>
      <c r="FF15" s="641"/>
      <c r="FG15" s="641"/>
      <c r="FH15" s="641"/>
      <c r="FI15" s="641"/>
      <c r="FJ15" s="641"/>
      <c r="FK15" s="641"/>
      <c r="FL15" s="641"/>
      <c r="FM15" s="641"/>
      <c r="FN15" s="641"/>
      <c r="FO15" s="641"/>
      <c r="FP15" s="641"/>
      <c r="FQ15" s="641"/>
      <c r="FR15" s="641"/>
      <c r="FS15" s="641"/>
      <c r="FT15" s="641"/>
      <c r="FU15" s="641"/>
      <c r="FV15" s="641"/>
      <c r="FW15" s="641"/>
      <c r="FX15" s="641"/>
      <c r="FY15" s="641"/>
      <c r="FZ15" s="641"/>
      <c r="GA15" s="641"/>
      <c r="GB15" s="641"/>
      <c r="GC15" s="641"/>
      <c r="GD15" s="641"/>
      <c r="GE15" s="641"/>
      <c r="GF15" s="641"/>
      <c r="GG15" s="641"/>
      <c r="GH15" s="641"/>
      <c r="GI15" s="641"/>
      <c r="GJ15" s="641"/>
      <c r="GK15" s="641"/>
      <c r="GL15" s="641"/>
      <c r="GM15" s="641"/>
      <c r="GN15" s="641"/>
      <c r="GO15" s="641"/>
      <c r="GP15" s="641"/>
      <c r="GQ15" s="641"/>
      <c r="GR15" s="641"/>
      <c r="GS15" s="641"/>
      <c r="GT15" s="641"/>
      <c r="GU15" s="641"/>
      <c r="GV15" s="641"/>
      <c r="GW15" s="641"/>
      <c r="GX15" s="641"/>
      <c r="GY15" s="641"/>
      <c r="GZ15" s="641"/>
      <c r="HA15" s="641"/>
      <c r="HB15" s="641"/>
      <c r="HC15" s="641"/>
      <c r="HD15" s="641"/>
      <c r="HE15" s="641"/>
      <c r="HF15" s="641"/>
      <c r="HG15" s="641"/>
      <c r="HH15" s="641"/>
      <c r="HI15" s="641"/>
      <c r="HJ15" s="641"/>
      <c r="HK15" s="641"/>
      <c r="HL15" s="641"/>
      <c r="HM15" s="641"/>
      <c r="HN15" s="641"/>
      <c r="HO15" s="641"/>
      <c r="HP15" s="641"/>
      <c r="HQ15" s="641"/>
      <c r="HR15" s="641"/>
      <c r="HS15" s="641"/>
      <c r="HT15" s="641"/>
      <c r="HU15" s="641"/>
      <c r="HV15" s="641"/>
      <c r="HW15" s="641"/>
      <c r="HX15" s="641"/>
      <c r="HY15" s="641"/>
      <c r="HZ15" s="641"/>
      <c r="IA15" s="641"/>
      <c r="IB15" s="641"/>
      <c r="IC15" s="641"/>
      <c r="ID15" s="641"/>
      <c r="IE15" s="641"/>
      <c r="IF15" s="641"/>
      <c r="IG15" s="641"/>
      <c r="IH15" s="641"/>
      <c r="II15" s="641"/>
      <c r="IJ15" s="641"/>
      <c r="IK15" s="641"/>
      <c r="IL15" s="641"/>
      <c r="IM15" s="641"/>
      <c r="IN15" s="641"/>
      <c r="IO15" s="641"/>
      <c r="IP15" s="641"/>
      <c r="IQ15" s="641"/>
      <c r="IR15" s="641"/>
      <c r="IS15" s="641"/>
      <c r="IT15" s="641"/>
      <c r="IU15" s="641"/>
      <c r="IV15" s="641"/>
    </row>
    <row r="16" spans="1:256" ht="15" customHeight="1">
      <c r="A16" s="642">
        <v>11</v>
      </c>
      <c r="B16" s="580" t="s">
        <v>138</v>
      </c>
      <c r="C16" s="580"/>
      <c r="D16" s="581"/>
      <c r="E16" s="581"/>
      <c r="F16" s="583"/>
      <c r="G16" s="584">
        <v>630</v>
      </c>
      <c r="H16" s="584">
        <v>577.5</v>
      </c>
      <c r="I16" s="584">
        <v>574</v>
      </c>
      <c r="J16" s="368">
        <v>577.5</v>
      </c>
      <c r="K16" s="581">
        <v>581</v>
      </c>
      <c r="L16" s="582">
        <v>581</v>
      </c>
      <c r="M16" s="581">
        <v>563.5</v>
      </c>
      <c r="N16" s="581">
        <v>563.5</v>
      </c>
      <c r="O16" s="581">
        <v>556.5</v>
      </c>
      <c r="P16" s="675">
        <f>SUM(D16:O16)</f>
        <v>5204.5</v>
      </c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1"/>
      <c r="BR16" s="641"/>
      <c r="BS16" s="641"/>
      <c r="BT16" s="641"/>
      <c r="BU16" s="641"/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1"/>
      <c r="CI16" s="641"/>
      <c r="CJ16" s="641"/>
      <c r="CK16" s="641"/>
      <c r="CL16" s="641"/>
      <c r="CM16" s="641"/>
      <c r="CN16" s="641"/>
      <c r="CO16" s="641"/>
      <c r="CP16" s="641"/>
      <c r="CQ16" s="641"/>
      <c r="CR16" s="641"/>
      <c r="CS16" s="641"/>
      <c r="CT16" s="641"/>
      <c r="CU16" s="641"/>
      <c r="CV16" s="641"/>
      <c r="CW16" s="641"/>
      <c r="CX16" s="641"/>
      <c r="CY16" s="641"/>
      <c r="CZ16" s="641"/>
      <c r="DA16" s="641"/>
      <c r="DB16" s="641"/>
      <c r="DC16" s="641"/>
      <c r="DD16" s="641"/>
      <c r="DE16" s="641"/>
      <c r="DF16" s="641"/>
      <c r="DG16" s="641"/>
      <c r="DH16" s="641"/>
      <c r="DI16" s="641"/>
      <c r="DJ16" s="641"/>
      <c r="DK16" s="641"/>
      <c r="DL16" s="641"/>
      <c r="DM16" s="641"/>
      <c r="DN16" s="641"/>
      <c r="DO16" s="641"/>
      <c r="DP16" s="641"/>
      <c r="DQ16" s="641"/>
      <c r="DR16" s="641"/>
      <c r="DS16" s="641"/>
      <c r="DT16" s="641"/>
      <c r="DU16" s="641"/>
      <c r="DV16" s="641"/>
      <c r="DW16" s="641"/>
      <c r="DX16" s="641"/>
      <c r="DY16" s="641"/>
      <c r="DZ16" s="641"/>
      <c r="EA16" s="641"/>
      <c r="EB16" s="641"/>
      <c r="EC16" s="641"/>
      <c r="ED16" s="641"/>
      <c r="EE16" s="641"/>
      <c r="EF16" s="641"/>
      <c r="EG16" s="641"/>
      <c r="EH16" s="641"/>
      <c r="EI16" s="641"/>
      <c r="EJ16" s="641"/>
      <c r="EK16" s="641"/>
      <c r="EL16" s="641"/>
      <c r="EM16" s="641"/>
      <c r="EN16" s="641"/>
      <c r="EO16" s="641"/>
      <c r="EP16" s="641"/>
      <c r="EQ16" s="641"/>
      <c r="ER16" s="641"/>
      <c r="ES16" s="641"/>
      <c r="ET16" s="641"/>
      <c r="EU16" s="641"/>
      <c r="EV16" s="641"/>
      <c r="EW16" s="641"/>
      <c r="EX16" s="641"/>
      <c r="EY16" s="641"/>
      <c r="EZ16" s="641"/>
      <c r="FA16" s="641"/>
      <c r="FB16" s="641"/>
      <c r="FC16" s="641"/>
      <c r="FD16" s="641"/>
      <c r="FE16" s="641"/>
      <c r="FF16" s="641"/>
      <c r="FG16" s="641"/>
      <c r="FH16" s="641"/>
      <c r="FI16" s="641"/>
      <c r="FJ16" s="641"/>
      <c r="FK16" s="641"/>
      <c r="FL16" s="641"/>
      <c r="FM16" s="641"/>
      <c r="FN16" s="641"/>
      <c r="FO16" s="641"/>
      <c r="FP16" s="641"/>
      <c r="FQ16" s="641"/>
      <c r="FR16" s="641"/>
      <c r="FS16" s="641"/>
      <c r="FT16" s="641"/>
      <c r="FU16" s="641"/>
      <c r="FV16" s="641"/>
      <c r="FW16" s="641"/>
      <c r="FX16" s="641"/>
      <c r="FY16" s="641"/>
      <c r="FZ16" s="641"/>
      <c r="GA16" s="641"/>
      <c r="GB16" s="641"/>
      <c r="GC16" s="641"/>
      <c r="GD16" s="641"/>
      <c r="GE16" s="641"/>
      <c r="GF16" s="641"/>
      <c r="GG16" s="641"/>
      <c r="GH16" s="641"/>
      <c r="GI16" s="641"/>
      <c r="GJ16" s="641"/>
      <c r="GK16" s="641"/>
      <c r="GL16" s="641"/>
      <c r="GM16" s="641"/>
      <c r="GN16" s="641"/>
      <c r="GO16" s="641"/>
      <c r="GP16" s="641"/>
      <c r="GQ16" s="641"/>
      <c r="GR16" s="641"/>
      <c r="GS16" s="641"/>
      <c r="GT16" s="641"/>
      <c r="GU16" s="641"/>
      <c r="GV16" s="641"/>
      <c r="GW16" s="641"/>
      <c r="GX16" s="641"/>
      <c r="GY16" s="641"/>
      <c r="GZ16" s="641"/>
      <c r="HA16" s="641"/>
      <c r="HB16" s="641"/>
      <c r="HC16" s="641"/>
      <c r="HD16" s="641"/>
      <c r="HE16" s="641"/>
      <c r="HF16" s="641"/>
      <c r="HG16" s="641"/>
      <c r="HH16" s="641"/>
      <c r="HI16" s="641"/>
      <c r="HJ16" s="641"/>
      <c r="HK16" s="641"/>
      <c r="HL16" s="641"/>
      <c r="HM16" s="641"/>
      <c r="HN16" s="641"/>
      <c r="HO16" s="641"/>
      <c r="HP16" s="641"/>
      <c r="HQ16" s="641"/>
      <c r="HR16" s="641"/>
      <c r="HS16" s="641"/>
      <c r="HT16" s="641"/>
      <c r="HU16" s="641"/>
      <c r="HV16" s="641"/>
      <c r="HW16" s="641"/>
      <c r="HX16" s="641"/>
      <c r="HY16" s="641"/>
      <c r="HZ16" s="641"/>
      <c r="IA16" s="641"/>
      <c r="IB16" s="641"/>
      <c r="IC16" s="641"/>
      <c r="ID16" s="641"/>
      <c r="IE16" s="641"/>
      <c r="IF16" s="641"/>
      <c r="IG16" s="641"/>
      <c r="IH16" s="641"/>
      <c r="II16" s="641"/>
      <c r="IJ16" s="641"/>
      <c r="IK16" s="641"/>
      <c r="IL16" s="641"/>
      <c r="IM16" s="641"/>
      <c r="IN16" s="641"/>
      <c r="IO16" s="641"/>
      <c r="IP16" s="641"/>
      <c r="IQ16" s="641"/>
      <c r="IR16" s="641"/>
      <c r="IS16" s="641"/>
      <c r="IT16" s="641"/>
      <c r="IU16" s="641"/>
      <c r="IV16" s="641"/>
    </row>
    <row r="17" spans="1:256" ht="15" customHeight="1" thickBot="1">
      <c r="A17" s="644">
        <v>12</v>
      </c>
      <c r="B17" s="580" t="s">
        <v>139</v>
      </c>
      <c r="C17" s="580"/>
      <c r="D17" s="581"/>
      <c r="E17" s="585"/>
      <c r="F17" s="586"/>
      <c r="G17" s="587">
        <v>805</v>
      </c>
      <c r="H17" s="587">
        <v>791.5</v>
      </c>
      <c r="I17" s="587">
        <v>790.5</v>
      </c>
      <c r="J17" s="645">
        <v>791</v>
      </c>
      <c r="K17" s="581">
        <v>780.5</v>
      </c>
      <c r="L17" s="646">
        <v>794.5</v>
      </c>
      <c r="M17" s="581">
        <v>794.5</v>
      </c>
      <c r="N17" s="646">
        <v>794.5</v>
      </c>
      <c r="O17" s="585">
        <v>794.5</v>
      </c>
      <c r="P17" s="676">
        <f>SUM(D17:O17)</f>
        <v>7136.5</v>
      </c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  <c r="AD17" s="641"/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641"/>
      <c r="BL17" s="641"/>
      <c r="BM17" s="641"/>
      <c r="BN17" s="641"/>
      <c r="BO17" s="641"/>
      <c r="BP17" s="641"/>
      <c r="BQ17" s="641"/>
      <c r="BR17" s="641"/>
      <c r="BS17" s="641"/>
      <c r="BT17" s="641"/>
      <c r="BU17" s="641"/>
      <c r="BV17" s="641"/>
      <c r="BW17" s="641"/>
      <c r="BX17" s="641"/>
      <c r="BY17" s="641"/>
      <c r="BZ17" s="641"/>
      <c r="CA17" s="641"/>
      <c r="CB17" s="641"/>
      <c r="CC17" s="641"/>
      <c r="CD17" s="641"/>
      <c r="CE17" s="641"/>
      <c r="CF17" s="641"/>
      <c r="CG17" s="641"/>
      <c r="CH17" s="641"/>
      <c r="CI17" s="641"/>
      <c r="CJ17" s="641"/>
      <c r="CK17" s="641"/>
      <c r="CL17" s="641"/>
      <c r="CM17" s="641"/>
      <c r="CN17" s="641"/>
      <c r="CO17" s="641"/>
      <c r="CP17" s="641"/>
      <c r="CQ17" s="641"/>
      <c r="CR17" s="641"/>
      <c r="CS17" s="641"/>
      <c r="CT17" s="641"/>
      <c r="CU17" s="641"/>
      <c r="CV17" s="641"/>
      <c r="CW17" s="641"/>
      <c r="CX17" s="641"/>
      <c r="CY17" s="641"/>
      <c r="CZ17" s="641"/>
      <c r="DA17" s="641"/>
      <c r="DB17" s="641"/>
      <c r="DC17" s="641"/>
      <c r="DD17" s="641"/>
      <c r="DE17" s="641"/>
      <c r="DF17" s="641"/>
      <c r="DG17" s="641"/>
      <c r="DH17" s="641"/>
      <c r="DI17" s="641"/>
      <c r="DJ17" s="641"/>
      <c r="DK17" s="641"/>
      <c r="DL17" s="641"/>
      <c r="DM17" s="641"/>
      <c r="DN17" s="641"/>
      <c r="DO17" s="641"/>
      <c r="DP17" s="641"/>
      <c r="DQ17" s="641"/>
      <c r="DR17" s="641"/>
      <c r="DS17" s="641"/>
      <c r="DT17" s="641"/>
      <c r="DU17" s="641"/>
      <c r="DV17" s="641"/>
      <c r="DW17" s="641"/>
      <c r="DX17" s="641"/>
      <c r="DY17" s="641"/>
      <c r="DZ17" s="641"/>
      <c r="EA17" s="641"/>
      <c r="EB17" s="641"/>
      <c r="EC17" s="641"/>
      <c r="ED17" s="641"/>
      <c r="EE17" s="641"/>
      <c r="EF17" s="641"/>
      <c r="EG17" s="641"/>
      <c r="EH17" s="641"/>
      <c r="EI17" s="641"/>
      <c r="EJ17" s="641"/>
      <c r="EK17" s="641"/>
      <c r="EL17" s="641"/>
      <c r="EM17" s="641"/>
      <c r="EN17" s="641"/>
      <c r="EO17" s="641"/>
      <c r="EP17" s="641"/>
      <c r="EQ17" s="641"/>
      <c r="ER17" s="641"/>
      <c r="ES17" s="641"/>
      <c r="ET17" s="641"/>
      <c r="EU17" s="641"/>
      <c r="EV17" s="641"/>
      <c r="EW17" s="641"/>
      <c r="EX17" s="641"/>
      <c r="EY17" s="641"/>
      <c r="EZ17" s="641"/>
      <c r="FA17" s="641"/>
      <c r="FB17" s="641"/>
      <c r="FC17" s="641"/>
      <c r="FD17" s="641"/>
      <c r="FE17" s="641"/>
      <c r="FF17" s="641"/>
      <c r="FG17" s="641"/>
      <c r="FH17" s="641"/>
      <c r="FI17" s="641"/>
      <c r="FJ17" s="641"/>
      <c r="FK17" s="641"/>
      <c r="FL17" s="641"/>
      <c r="FM17" s="641"/>
      <c r="FN17" s="641"/>
      <c r="FO17" s="641"/>
      <c r="FP17" s="641"/>
      <c r="FQ17" s="641"/>
      <c r="FR17" s="641"/>
      <c r="FS17" s="641"/>
      <c r="FT17" s="641"/>
      <c r="FU17" s="641"/>
      <c r="FV17" s="641"/>
      <c r="FW17" s="641"/>
      <c r="FX17" s="641"/>
      <c r="FY17" s="641"/>
      <c r="FZ17" s="641"/>
      <c r="GA17" s="641"/>
      <c r="GB17" s="641"/>
      <c r="GC17" s="641"/>
      <c r="GD17" s="641"/>
      <c r="GE17" s="641"/>
      <c r="GF17" s="641"/>
      <c r="GG17" s="641"/>
      <c r="GH17" s="641"/>
      <c r="GI17" s="641"/>
      <c r="GJ17" s="641"/>
      <c r="GK17" s="641"/>
      <c r="GL17" s="641"/>
      <c r="GM17" s="641"/>
      <c r="GN17" s="641"/>
      <c r="GO17" s="641"/>
      <c r="GP17" s="641"/>
      <c r="GQ17" s="641"/>
      <c r="GR17" s="641"/>
      <c r="GS17" s="641"/>
      <c r="GT17" s="641"/>
      <c r="GU17" s="641"/>
      <c r="GV17" s="641"/>
      <c r="GW17" s="641"/>
      <c r="GX17" s="641"/>
      <c r="GY17" s="641"/>
      <c r="GZ17" s="641"/>
      <c r="HA17" s="641"/>
      <c r="HB17" s="641"/>
      <c r="HC17" s="641"/>
      <c r="HD17" s="641"/>
      <c r="HE17" s="641"/>
      <c r="HF17" s="641"/>
      <c r="HG17" s="641"/>
      <c r="HH17" s="641"/>
      <c r="HI17" s="641"/>
      <c r="HJ17" s="641"/>
      <c r="HK17" s="641"/>
      <c r="HL17" s="641"/>
      <c r="HM17" s="641"/>
      <c r="HN17" s="641"/>
      <c r="HO17" s="641"/>
      <c r="HP17" s="641"/>
      <c r="HQ17" s="641"/>
      <c r="HR17" s="641"/>
      <c r="HS17" s="641"/>
      <c r="HT17" s="641"/>
      <c r="HU17" s="641"/>
      <c r="HV17" s="641"/>
      <c r="HW17" s="641"/>
      <c r="HX17" s="641"/>
      <c r="HY17" s="641"/>
      <c r="HZ17" s="641"/>
      <c r="IA17" s="641"/>
      <c r="IB17" s="641"/>
      <c r="IC17" s="641"/>
      <c r="ID17" s="641"/>
      <c r="IE17" s="641"/>
      <c r="IF17" s="641"/>
      <c r="IG17" s="641"/>
      <c r="IH17" s="641"/>
      <c r="II17" s="641"/>
      <c r="IJ17" s="641"/>
      <c r="IK17" s="641"/>
      <c r="IL17" s="641"/>
      <c r="IM17" s="641"/>
      <c r="IN17" s="641"/>
      <c r="IO17" s="641"/>
      <c r="IP17" s="641"/>
      <c r="IQ17" s="641"/>
      <c r="IR17" s="641"/>
      <c r="IS17" s="641"/>
      <c r="IT17" s="641"/>
      <c r="IU17" s="641"/>
      <c r="IV17" s="641"/>
    </row>
    <row r="18" spans="1:256" ht="15.75" thickBot="1">
      <c r="A18" s="663" t="s">
        <v>42</v>
      </c>
      <c r="B18" s="858" t="s">
        <v>20</v>
      </c>
      <c r="C18" s="859"/>
      <c r="D18" s="664">
        <f aca="true" t="shared" si="1" ref="D18:P18">SUM(D6:D17)</f>
        <v>0</v>
      </c>
      <c r="E18" s="664">
        <f t="shared" si="1"/>
        <v>0</v>
      </c>
      <c r="F18" s="665">
        <f t="shared" si="1"/>
        <v>0</v>
      </c>
      <c r="G18" s="664">
        <f t="shared" si="1"/>
        <v>7595</v>
      </c>
      <c r="H18" s="664">
        <f t="shared" si="1"/>
        <v>7305</v>
      </c>
      <c r="I18" s="664">
        <f t="shared" si="1"/>
        <v>7279.5</v>
      </c>
      <c r="J18" s="666">
        <f t="shared" si="1"/>
        <v>7314</v>
      </c>
      <c r="K18" s="664">
        <f t="shared" si="1"/>
        <v>7259</v>
      </c>
      <c r="L18" s="665">
        <f t="shared" si="1"/>
        <v>7675.5</v>
      </c>
      <c r="M18" s="664">
        <f t="shared" si="1"/>
        <v>7645.8</v>
      </c>
      <c r="N18" s="665">
        <f t="shared" si="1"/>
        <v>7633.5</v>
      </c>
      <c r="O18" s="664">
        <f t="shared" si="1"/>
        <v>7612.5</v>
      </c>
      <c r="P18" s="588">
        <f t="shared" si="1"/>
        <v>67319.8</v>
      </c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  <c r="AE18" s="638"/>
      <c r="AF18" s="638"/>
      <c r="AG18" s="638"/>
      <c r="AH18" s="638"/>
      <c r="AI18" s="638"/>
      <c r="AJ18" s="638"/>
      <c r="AK18" s="638"/>
      <c r="AL18" s="638"/>
      <c r="AM18" s="638"/>
      <c r="AN18" s="638"/>
      <c r="AO18" s="638"/>
      <c r="AP18" s="638"/>
      <c r="AQ18" s="638"/>
      <c r="AR18" s="638"/>
      <c r="AS18" s="638"/>
      <c r="AT18" s="638"/>
      <c r="AU18" s="638"/>
      <c r="AV18" s="638"/>
      <c r="AW18" s="638"/>
      <c r="AX18" s="638"/>
      <c r="AY18" s="638"/>
      <c r="AZ18" s="638"/>
      <c r="BA18" s="638"/>
      <c r="BB18" s="638"/>
      <c r="BC18" s="638"/>
      <c r="BD18" s="638"/>
      <c r="BE18" s="638"/>
      <c r="BF18" s="638"/>
      <c r="BG18" s="638"/>
      <c r="BH18" s="638"/>
      <c r="BI18" s="638"/>
      <c r="BJ18" s="638"/>
      <c r="BK18" s="638"/>
      <c r="BL18" s="638"/>
      <c r="BM18" s="638"/>
      <c r="BN18" s="638"/>
      <c r="BO18" s="638"/>
      <c r="BP18" s="638"/>
      <c r="BQ18" s="638"/>
      <c r="BR18" s="638"/>
      <c r="BS18" s="638"/>
      <c r="BT18" s="638"/>
      <c r="BU18" s="638"/>
      <c r="BV18" s="638"/>
      <c r="BW18" s="638"/>
      <c r="BX18" s="638"/>
      <c r="BY18" s="638"/>
      <c r="BZ18" s="638"/>
      <c r="CA18" s="638"/>
      <c r="CB18" s="638"/>
      <c r="CC18" s="638"/>
      <c r="CD18" s="638"/>
      <c r="CE18" s="638"/>
      <c r="CF18" s="638"/>
      <c r="CG18" s="638"/>
      <c r="CH18" s="638"/>
      <c r="CI18" s="638"/>
      <c r="CJ18" s="638"/>
      <c r="CK18" s="638"/>
      <c r="CL18" s="638"/>
      <c r="CM18" s="638"/>
      <c r="CN18" s="638"/>
      <c r="CO18" s="638"/>
      <c r="CP18" s="638"/>
      <c r="CQ18" s="638"/>
      <c r="CR18" s="638"/>
      <c r="CS18" s="638"/>
      <c r="CT18" s="638"/>
      <c r="CU18" s="638"/>
      <c r="CV18" s="638"/>
      <c r="CW18" s="638"/>
      <c r="CX18" s="638"/>
      <c r="CY18" s="638"/>
      <c r="CZ18" s="638"/>
      <c r="DA18" s="638"/>
      <c r="DB18" s="638"/>
      <c r="DC18" s="638"/>
      <c r="DD18" s="638"/>
      <c r="DE18" s="638"/>
      <c r="DF18" s="638"/>
      <c r="DG18" s="638"/>
      <c r="DH18" s="638"/>
      <c r="DI18" s="638"/>
      <c r="DJ18" s="638"/>
      <c r="DK18" s="638"/>
      <c r="DL18" s="638"/>
      <c r="DM18" s="638"/>
      <c r="DN18" s="638"/>
      <c r="DO18" s="638"/>
      <c r="DP18" s="638"/>
      <c r="DQ18" s="638"/>
      <c r="DR18" s="638"/>
      <c r="DS18" s="638"/>
      <c r="DT18" s="638"/>
      <c r="DU18" s="638"/>
      <c r="DV18" s="638"/>
      <c r="DW18" s="638"/>
      <c r="DX18" s="638"/>
      <c r="DY18" s="638"/>
      <c r="DZ18" s="638"/>
      <c r="EA18" s="638"/>
      <c r="EB18" s="638"/>
      <c r="EC18" s="638"/>
      <c r="ED18" s="638"/>
      <c r="EE18" s="638"/>
      <c r="EF18" s="638"/>
      <c r="EG18" s="638"/>
      <c r="EH18" s="638"/>
      <c r="EI18" s="638"/>
      <c r="EJ18" s="638"/>
      <c r="EK18" s="638"/>
      <c r="EL18" s="638"/>
      <c r="EM18" s="638"/>
      <c r="EN18" s="638"/>
      <c r="EO18" s="638"/>
      <c r="EP18" s="638"/>
      <c r="EQ18" s="638"/>
      <c r="ER18" s="638"/>
      <c r="ES18" s="638"/>
      <c r="ET18" s="638"/>
      <c r="EU18" s="638"/>
      <c r="EV18" s="638"/>
      <c r="EW18" s="638"/>
      <c r="EX18" s="638"/>
      <c r="EY18" s="638"/>
      <c r="EZ18" s="638"/>
      <c r="FA18" s="638"/>
      <c r="FB18" s="638"/>
      <c r="FC18" s="638"/>
      <c r="FD18" s="638"/>
      <c r="FE18" s="638"/>
      <c r="FF18" s="638"/>
      <c r="FG18" s="638"/>
      <c r="FH18" s="638"/>
      <c r="FI18" s="638"/>
      <c r="FJ18" s="638"/>
      <c r="FK18" s="638"/>
      <c r="FL18" s="638"/>
      <c r="FM18" s="638"/>
      <c r="FN18" s="638"/>
      <c r="FO18" s="638"/>
      <c r="FP18" s="638"/>
      <c r="FQ18" s="638"/>
      <c r="FR18" s="638"/>
      <c r="FS18" s="638"/>
      <c r="FT18" s="638"/>
      <c r="FU18" s="638"/>
      <c r="FV18" s="638"/>
      <c r="FW18" s="638"/>
      <c r="FX18" s="638"/>
      <c r="FY18" s="638"/>
      <c r="FZ18" s="638"/>
      <c r="GA18" s="638"/>
      <c r="GB18" s="638"/>
      <c r="GC18" s="638"/>
      <c r="GD18" s="638"/>
      <c r="GE18" s="638"/>
      <c r="GF18" s="638"/>
      <c r="GG18" s="638"/>
      <c r="GH18" s="638"/>
      <c r="GI18" s="638"/>
      <c r="GJ18" s="638"/>
      <c r="GK18" s="638"/>
      <c r="GL18" s="638"/>
      <c r="GM18" s="638"/>
      <c r="GN18" s="638"/>
      <c r="GO18" s="638"/>
      <c r="GP18" s="638"/>
      <c r="GQ18" s="638"/>
      <c r="GR18" s="638"/>
      <c r="GS18" s="638"/>
      <c r="GT18" s="638"/>
      <c r="GU18" s="638"/>
      <c r="GV18" s="638"/>
      <c r="GW18" s="638"/>
      <c r="GX18" s="638"/>
      <c r="GY18" s="638"/>
      <c r="GZ18" s="638"/>
      <c r="HA18" s="638"/>
      <c r="HB18" s="638"/>
      <c r="HC18" s="638"/>
      <c r="HD18" s="638"/>
      <c r="HE18" s="638"/>
      <c r="HF18" s="638"/>
      <c r="HG18" s="638"/>
      <c r="HH18" s="638"/>
      <c r="HI18" s="638"/>
      <c r="HJ18" s="638"/>
      <c r="HK18" s="638"/>
      <c r="HL18" s="638"/>
      <c r="HM18" s="638"/>
      <c r="HN18" s="638"/>
      <c r="HO18" s="638"/>
      <c r="HP18" s="638"/>
      <c r="HQ18" s="638"/>
      <c r="HR18" s="638"/>
      <c r="HS18" s="638"/>
      <c r="HT18" s="638"/>
      <c r="HU18" s="638"/>
      <c r="HV18" s="638"/>
      <c r="HW18" s="638"/>
      <c r="HX18" s="638"/>
      <c r="HY18" s="638"/>
      <c r="HZ18" s="638"/>
      <c r="IA18" s="638"/>
      <c r="IB18" s="638"/>
      <c r="IC18" s="638"/>
      <c r="ID18" s="638"/>
      <c r="IE18" s="638"/>
      <c r="IF18" s="638"/>
      <c r="IG18" s="638"/>
      <c r="IH18" s="638"/>
      <c r="II18" s="638"/>
      <c r="IJ18" s="638"/>
      <c r="IK18" s="638"/>
      <c r="IL18" s="638"/>
      <c r="IM18" s="638"/>
      <c r="IN18" s="638"/>
      <c r="IO18" s="638"/>
      <c r="IP18" s="638"/>
      <c r="IQ18" s="638"/>
      <c r="IR18" s="638"/>
      <c r="IS18" s="638"/>
      <c r="IT18" s="638"/>
      <c r="IU18" s="638"/>
      <c r="IV18" s="638"/>
    </row>
    <row r="19" spans="1:256" ht="18" customHeight="1">
      <c r="A19" s="647">
        <v>13</v>
      </c>
      <c r="B19" s="860" t="s">
        <v>289</v>
      </c>
      <c r="C19" s="861"/>
      <c r="D19" s="581">
        <v>1430.2</v>
      </c>
      <c r="E19" s="581">
        <v>1426.3</v>
      </c>
      <c r="F19" s="582">
        <v>1422.3</v>
      </c>
      <c r="G19" s="581">
        <v>1413.8</v>
      </c>
      <c r="H19" s="413">
        <v>1413.7</v>
      </c>
      <c r="I19" s="590">
        <v>0</v>
      </c>
      <c r="J19" s="583">
        <v>0</v>
      </c>
      <c r="K19" s="590">
        <v>0</v>
      </c>
      <c r="L19" s="590">
        <v>1438.5</v>
      </c>
      <c r="M19" s="590">
        <v>1438.5</v>
      </c>
      <c r="N19" s="582">
        <v>1388</v>
      </c>
      <c r="O19" s="581">
        <v>1367.7</v>
      </c>
      <c r="P19" s="677">
        <f aca="true" t="shared" si="2" ref="P19:P34">SUM(D19:O19)</f>
        <v>12739</v>
      </c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  <c r="BB19" s="641"/>
      <c r="BC19" s="641"/>
      <c r="BD19" s="641"/>
      <c r="BE19" s="641"/>
      <c r="BF19" s="641"/>
      <c r="BG19" s="641"/>
      <c r="BH19" s="641"/>
      <c r="BI19" s="641"/>
      <c r="BJ19" s="641"/>
      <c r="BK19" s="641"/>
      <c r="BL19" s="641"/>
      <c r="BM19" s="641"/>
      <c r="BN19" s="641"/>
      <c r="BO19" s="641"/>
      <c r="BP19" s="641"/>
      <c r="BQ19" s="641"/>
      <c r="BR19" s="641"/>
      <c r="BS19" s="641"/>
      <c r="BT19" s="641"/>
      <c r="BU19" s="641"/>
      <c r="BV19" s="641"/>
      <c r="BW19" s="641"/>
      <c r="BX19" s="641"/>
      <c r="BY19" s="641"/>
      <c r="BZ19" s="641"/>
      <c r="CA19" s="641"/>
      <c r="CB19" s="641"/>
      <c r="CC19" s="641"/>
      <c r="CD19" s="641"/>
      <c r="CE19" s="641"/>
      <c r="CF19" s="641"/>
      <c r="CG19" s="641"/>
      <c r="CH19" s="641"/>
      <c r="CI19" s="641"/>
      <c r="CJ19" s="641"/>
      <c r="CK19" s="641"/>
      <c r="CL19" s="641"/>
      <c r="CM19" s="641"/>
      <c r="CN19" s="641"/>
      <c r="CO19" s="641"/>
      <c r="CP19" s="641"/>
      <c r="CQ19" s="641"/>
      <c r="CR19" s="641"/>
      <c r="CS19" s="641"/>
      <c r="CT19" s="641"/>
      <c r="CU19" s="641"/>
      <c r="CV19" s="641"/>
      <c r="CW19" s="641"/>
      <c r="CX19" s="641"/>
      <c r="CY19" s="641"/>
      <c r="CZ19" s="641"/>
      <c r="DA19" s="641"/>
      <c r="DB19" s="641"/>
      <c r="DC19" s="641"/>
      <c r="DD19" s="641"/>
      <c r="DE19" s="641"/>
      <c r="DF19" s="641"/>
      <c r="DG19" s="641"/>
      <c r="DH19" s="641"/>
      <c r="DI19" s="641"/>
      <c r="DJ19" s="641"/>
      <c r="DK19" s="641"/>
      <c r="DL19" s="641"/>
      <c r="DM19" s="641"/>
      <c r="DN19" s="641"/>
      <c r="DO19" s="641"/>
      <c r="DP19" s="641"/>
      <c r="DQ19" s="641"/>
      <c r="DR19" s="641"/>
      <c r="DS19" s="641"/>
      <c r="DT19" s="641"/>
      <c r="DU19" s="641"/>
      <c r="DV19" s="641"/>
      <c r="DW19" s="641"/>
      <c r="DX19" s="641"/>
      <c r="DY19" s="641"/>
      <c r="DZ19" s="641"/>
      <c r="EA19" s="641"/>
      <c r="EB19" s="641"/>
      <c r="EC19" s="641"/>
      <c r="ED19" s="641"/>
      <c r="EE19" s="641"/>
      <c r="EF19" s="641"/>
      <c r="EG19" s="641"/>
      <c r="EH19" s="641"/>
      <c r="EI19" s="641"/>
      <c r="EJ19" s="641"/>
      <c r="EK19" s="641"/>
      <c r="EL19" s="641"/>
      <c r="EM19" s="641"/>
      <c r="EN19" s="641"/>
      <c r="EO19" s="641"/>
      <c r="EP19" s="641"/>
      <c r="EQ19" s="641"/>
      <c r="ER19" s="641"/>
      <c r="ES19" s="641"/>
      <c r="ET19" s="641"/>
      <c r="EU19" s="641"/>
      <c r="EV19" s="641"/>
      <c r="EW19" s="641"/>
      <c r="EX19" s="641"/>
      <c r="EY19" s="641"/>
      <c r="EZ19" s="641"/>
      <c r="FA19" s="641"/>
      <c r="FB19" s="641"/>
      <c r="FC19" s="641"/>
      <c r="FD19" s="641"/>
      <c r="FE19" s="641"/>
      <c r="FF19" s="641"/>
      <c r="FG19" s="641"/>
      <c r="FH19" s="641"/>
      <c r="FI19" s="641"/>
      <c r="FJ19" s="641"/>
      <c r="FK19" s="641"/>
      <c r="FL19" s="641"/>
      <c r="FM19" s="641"/>
      <c r="FN19" s="641"/>
      <c r="FO19" s="641"/>
      <c r="FP19" s="641"/>
      <c r="FQ19" s="641"/>
      <c r="FR19" s="641"/>
      <c r="FS19" s="641"/>
      <c r="FT19" s="641"/>
      <c r="FU19" s="641"/>
      <c r="FV19" s="641"/>
      <c r="FW19" s="641"/>
      <c r="FX19" s="641"/>
      <c r="FY19" s="641"/>
      <c r="FZ19" s="641"/>
      <c r="GA19" s="641"/>
      <c r="GB19" s="641"/>
      <c r="GC19" s="641"/>
      <c r="GD19" s="641"/>
      <c r="GE19" s="641"/>
      <c r="GF19" s="641"/>
      <c r="GG19" s="641"/>
      <c r="GH19" s="641"/>
      <c r="GI19" s="641"/>
      <c r="GJ19" s="641"/>
      <c r="GK19" s="641"/>
      <c r="GL19" s="641"/>
      <c r="GM19" s="641"/>
      <c r="GN19" s="641"/>
      <c r="GO19" s="641"/>
      <c r="GP19" s="641"/>
      <c r="GQ19" s="641"/>
      <c r="GR19" s="641"/>
      <c r="GS19" s="641"/>
      <c r="GT19" s="641"/>
      <c r="GU19" s="641"/>
      <c r="GV19" s="641"/>
      <c r="GW19" s="641"/>
      <c r="GX19" s="641"/>
      <c r="GY19" s="641"/>
      <c r="GZ19" s="641"/>
      <c r="HA19" s="641"/>
      <c r="HB19" s="641"/>
      <c r="HC19" s="641"/>
      <c r="HD19" s="641"/>
      <c r="HE19" s="641"/>
      <c r="HF19" s="641"/>
      <c r="HG19" s="641"/>
      <c r="HH19" s="641"/>
      <c r="HI19" s="641"/>
      <c r="HJ19" s="641"/>
      <c r="HK19" s="641"/>
      <c r="HL19" s="641"/>
      <c r="HM19" s="641"/>
      <c r="HN19" s="641"/>
      <c r="HO19" s="641"/>
      <c r="HP19" s="641"/>
      <c r="HQ19" s="641"/>
      <c r="HR19" s="641"/>
      <c r="HS19" s="641"/>
      <c r="HT19" s="641"/>
      <c r="HU19" s="641"/>
      <c r="HV19" s="641"/>
      <c r="HW19" s="641"/>
      <c r="HX19" s="641"/>
      <c r="HY19" s="641"/>
      <c r="HZ19" s="641"/>
      <c r="IA19" s="641"/>
      <c r="IB19" s="641"/>
      <c r="IC19" s="641"/>
      <c r="ID19" s="641"/>
      <c r="IE19" s="641"/>
      <c r="IF19" s="641"/>
      <c r="IG19" s="641"/>
      <c r="IH19" s="641"/>
      <c r="II19" s="641"/>
      <c r="IJ19" s="641"/>
      <c r="IK19" s="641"/>
      <c r="IL19" s="641"/>
      <c r="IM19" s="641"/>
      <c r="IN19" s="641"/>
      <c r="IO19" s="641"/>
      <c r="IP19" s="641"/>
      <c r="IQ19" s="641"/>
      <c r="IR19" s="641"/>
      <c r="IS19" s="641"/>
      <c r="IT19" s="641"/>
      <c r="IU19" s="641"/>
      <c r="IV19" s="641"/>
    </row>
    <row r="20" spans="1:256" ht="18" customHeight="1" thickBot="1">
      <c r="A20" s="648">
        <v>14</v>
      </c>
      <c r="B20" s="868" t="s">
        <v>290</v>
      </c>
      <c r="C20" s="869"/>
      <c r="D20" s="584">
        <v>490</v>
      </c>
      <c r="E20" s="584">
        <v>490</v>
      </c>
      <c r="F20" s="583">
        <v>490</v>
      </c>
      <c r="G20" s="584">
        <v>490</v>
      </c>
      <c r="H20" s="368">
        <v>490</v>
      </c>
      <c r="I20" s="649">
        <v>0</v>
      </c>
      <c r="J20" s="583">
        <v>0</v>
      </c>
      <c r="K20" s="581">
        <v>0</v>
      </c>
      <c r="L20" s="583">
        <v>374</v>
      </c>
      <c r="M20" s="584">
        <v>630</v>
      </c>
      <c r="N20" s="583">
        <v>498</v>
      </c>
      <c r="O20" s="584">
        <v>494</v>
      </c>
      <c r="P20" s="595">
        <f t="shared" si="2"/>
        <v>4446</v>
      </c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1"/>
      <c r="BB20" s="641"/>
      <c r="BC20" s="641"/>
      <c r="BD20" s="641"/>
      <c r="BE20" s="641"/>
      <c r="BF20" s="641"/>
      <c r="BG20" s="641"/>
      <c r="BH20" s="641"/>
      <c r="BI20" s="641"/>
      <c r="BJ20" s="641"/>
      <c r="BK20" s="641"/>
      <c r="BL20" s="641"/>
      <c r="BM20" s="641"/>
      <c r="BN20" s="641"/>
      <c r="BO20" s="641"/>
      <c r="BP20" s="641"/>
      <c r="BQ20" s="641"/>
      <c r="BR20" s="641"/>
      <c r="BS20" s="641"/>
      <c r="BT20" s="641"/>
      <c r="BU20" s="641"/>
      <c r="BV20" s="641"/>
      <c r="BW20" s="641"/>
      <c r="BX20" s="641"/>
      <c r="BY20" s="641"/>
      <c r="BZ20" s="641"/>
      <c r="CA20" s="641"/>
      <c r="CB20" s="641"/>
      <c r="CC20" s="641"/>
      <c r="CD20" s="641"/>
      <c r="CE20" s="641"/>
      <c r="CF20" s="641"/>
      <c r="CG20" s="641"/>
      <c r="CH20" s="641"/>
      <c r="CI20" s="641"/>
      <c r="CJ20" s="641"/>
      <c r="CK20" s="641"/>
      <c r="CL20" s="641"/>
      <c r="CM20" s="641"/>
      <c r="CN20" s="641"/>
      <c r="CO20" s="641"/>
      <c r="CP20" s="641"/>
      <c r="CQ20" s="641"/>
      <c r="CR20" s="641"/>
      <c r="CS20" s="641"/>
      <c r="CT20" s="641"/>
      <c r="CU20" s="641"/>
      <c r="CV20" s="641"/>
      <c r="CW20" s="641"/>
      <c r="CX20" s="641"/>
      <c r="CY20" s="641"/>
      <c r="CZ20" s="641"/>
      <c r="DA20" s="641"/>
      <c r="DB20" s="641"/>
      <c r="DC20" s="641"/>
      <c r="DD20" s="641"/>
      <c r="DE20" s="641"/>
      <c r="DF20" s="641"/>
      <c r="DG20" s="641"/>
      <c r="DH20" s="641"/>
      <c r="DI20" s="641"/>
      <c r="DJ20" s="641"/>
      <c r="DK20" s="641"/>
      <c r="DL20" s="641"/>
      <c r="DM20" s="641"/>
      <c r="DN20" s="641"/>
      <c r="DO20" s="641"/>
      <c r="DP20" s="641"/>
      <c r="DQ20" s="641"/>
      <c r="DR20" s="641"/>
      <c r="DS20" s="641"/>
      <c r="DT20" s="641"/>
      <c r="DU20" s="641"/>
      <c r="DV20" s="641"/>
      <c r="DW20" s="641"/>
      <c r="DX20" s="641"/>
      <c r="DY20" s="641"/>
      <c r="DZ20" s="641"/>
      <c r="EA20" s="641"/>
      <c r="EB20" s="641"/>
      <c r="EC20" s="641"/>
      <c r="ED20" s="641"/>
      <c r="EE20" s="641"/>
      <c r="EF20" s="641"/>
      <c r="EG20" s="641"/>
      <c r="EH20" s="641"/>
      <c r="EI20" s="641"/>
      <c r="EJ20" s="641"/>
      <c r="EK20" s="641"/>
      <c r="EL20" s="641"/>
      <c r="EM20" s="641"/>
      <c r="EN20" s="641"/>
      <c r="EO20" s="641"/>
      <c r="EP20" s="641"/>
      <c r="EQ20" s="641"/>
      <c r="ER20" s="641"/>
      <c r="ES20" s="641"/>
      <c r="ET20" s="641"/>
      <c r="EU20" s="641"/>
      <c r="EV20" s="641"/>
      <c r="EW20" s="641"/>
      <c r="EX20" s="641"/>
      <c r="EY20" s="641"/>
      <c r="EZ20" s="641"/>
      <c r="FA20" s="641"/>
      <c r="FB20" s="641"/>
      <c r="FC20" s="641"/>
      <c r="FD20" s="641"/>
      <c r="FE20" s="641"/>
      <c r="FF20" s="641"/>
      <c r="FG20" s="641"/>
      <c r="FH20" s="641"/>
      <c r="FI20" s="641"/>
      <c r="FJ20" s="641"/>
      <c r="FK20" s="641"/>
      <c r="FL20" s="641"/>
      <c r="FM20" s="641"/>
      <c r="FN20" s="641"/>
      <c r="FO20" s="641"/>
      <c r="FP20" s="641"/>
      <c r="FQ20" s="641"/>
      <c r="FR20" s="641"/>
      <c r="FS20" s="641"/>
      <c r="FT20" s="641"/>
      <c r="FU20" s="641"/>
      <c r="FV20" s="641"/>
      <c r="FW20" s="641"/>
      <c r="FX20" s="641"/>
      <c r="FY20" s="641"/>
      <c r="FZ20" s="641"/>
      <c r="GA20" s="641"/>
      <c r="GB20" s="641"/>
      <c r="GC20" s="641"/>
      <c r="GD20" s="641"/>
      <c r="GE20" s="641"/>
      <c r="GF20" s="641"/>
      <c r="GG20" s="641"/>
      <c r="GH20" s="641"/>
      <c r="GI20" s="641"/>
      <c r="GJ20" s="641"/>
      <c r="GK20" s="641"/>
      <c r="GL20" s="641"/>
      <c r="GM20" s="641"/>
      <c r="GN20" s="641"/>
      <c r="GO20" s="641"/>
      <c r="GP20" s="641"/>
      <c r="GQ20" s="641"/>
      <c r="GR20" s="641"/>
      <c r="GS20" s="641"/>
      <c r="GT20" s="641"/>
      <c r="GU20" s="641"/>
      <c r="GV20" s="641"/>
      <c r="GW20" s="641"/>
      <c r="GX20" s="641"/>
      <c r="GY20" s="641"/>
      <c r="GZ20" s="641"/>
      <c r="HA20" s="641"/>
      <c r="HB20" s="641"/>
      <c r="HC20" s="641"/>
      <c r="HD20" s="641"/>
      <c r="HE20" s="641"/>
      <c r="HF20" s="641"/>
      <c r="HG20" s="641"/>
      <c r="HH20" s="641"/>
      <c r="HI20" s="641"/>
      <c r="HJ20" s="641"/>
      <c r="HK20" s="641"/>
      <c r="HL20" s="641"/>
      <c r="HM20" s="641"/>
      <c r="HN20" s="641"/>
      <c r="HO20" s="641"/>
      <c r="HP20" s="641"/>
      <c r="HQ20" s="641"/>
      <c r="HR20" s="641"/>
      <c r="HS20" s="641"/>
      <c r="HT20" s="641"/>
      <c r="HU20" s="641"/>
      <c r="HV20" s="641"/>
      <c r="HW20" s="641"/>
      <c r="HX20" s="641"/>
      <c r="HY20" s="641"/>
      <c r="HZ20" s="641"/>
      <c r="IA20" s="641"/>
      <c r="IB20" s="641"/>
      <c r="IC20" s="641"/>
      <c r="ID20" s="641"/>
      <c r="IE20" s="641"/>
      <c r="IF20" s="641"/>
      <c r="IG20" s="641"/>
      <c r="IH20" s="641"/>
      <c r="II20" s="641"/>
      <c r="IJ20" s="641"/>
      <c r="IK20" s="641"/>
      <c r="IL20" s="641"/>
      <c r="IM20" s="641"/>
      <c r="IN20" s="641"/>
      <c r="IO20" s="641"/>
      <c r="IP20" s="641"/>
      <c r="IQ20" s="641"/>
      <c r="IR20" s="641"/>
      <c r="IS20" s="641"/>
      <c r="IT20" s="641"/>
      <c r="IU20" s="641"/>
      <c r="IV20" s="641"/>
    </row>
    <row r="21" spans="1:256" ht="15.75" thickBot="1">
      <c r="A21" s="663" t="s">
        <v>42</v>
      </c>
      <c r="B21" s="858" t="s">
        <v>291</v>
      </c>
      <c r="C21" s="859"/>
      <c r="D21" s="666">
        <f aca="true" t="shared" si="3" ref="D21:O21">SUM(D19:D20)</f>
        <v>1920.2</v>
      </c>
      <c r="E21" s="666">
        <f t="shared" si="3"/>
        <v>1916.3</v>
      </c>
      <c r="F21" s="666">
        <f t="shared" si="3"/>
        <v>1912.3</v>
      </c>
      <c r="G21" s="666">
        <f t="shared" si="3"/>
        <v>1903.8</v>
      </c>
      <c r="H21" s="666">
        <f t="shared" si="3"/>
        <v>1903.7</v>
      </c>
      <c r="I21" s="666">
        <f t="shared" si="3"/>
        <v>0</v>
      </c>
      <c r="J21" s="666">
        <f t="shared" si="3"/>
        <v>0</v>
      </c>
      <c r="K21" s="664">
        <f t="shared" si="3"/>
        <v>0</v>
      </c>
      <c r="L21" s="665">
        <f t="shared" si="3"/>
        <v>1812.5</v>
      </c>
      <c r="M21" s="664">
        <f t="shared" si="3"/>
        <v>2068.5</v>
      </c>
      <c r="N21" s="664">
        <f t="shared" si="3"/>
        <v>1886</v>
      </c>
      <c r="O21" s="664">
        <f t="shared" si="3"/>
        <v>1861.7</v>
      </c>
      <c r="P21" s="588">
        <f>SUM(P19:P20)</f>
        <v>17185</v>
      </c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8"/>
      <c r="AC21" s="638"/>
      <c r="AD21" s="638"/>
      <c r="AE21" s="638"/>
      <c r="AF21" s="638"/>
      <c r="AG21" s="638"/>
      <c r="AH21" s="638"/>
      <c r="AI21" s="638"/>
      <c r="AJ21" s="638"/>
      <c r="AK21" s="638"/>
      <c r="AL21" s="638"/>
      <c r="AM21" s="638"/>
      <c r="AN21" s="638"/>
      <c r="AO21" s="638"/>
      <c r="AP21" s="638"/>
      <c r="AQ21" s="638"/>
      <c r="AR21" s="638"/>
      <c r="AS21" s="638"/>
      <c r="AT21" s="638"/>
      <c r="AU21" s="638"/>
      <c r="AV21" s="638"/>
      <c r="AW21" s="638"/>
      <c r="AX21" s="638"/>
      <c r="AY21" s="638"/>
      <c r="AZ21" s="638"/>
      <c r="BA21" s="638"/>
      <c r="BB21" s="638"/>
      <c r="BC21" s="638"/>
      <c r="BD21" s="638"/>
      <c r="BE21" s="638"/>
      <c r="BF21" s="638"/>
      <c r="BG21" s="638"/>
      <c r="BH21" s="638"/>
      <c r="BI21" s="638"/>
      <c r="BJ21" s="638"/>
      <c r="BK21" s="638"/>
      <c r="BL21" s="638"/>
      <c r="BM21" s="638"/>
      <c r="BN21" s="638"/>
      <c r="BO21" s="638"/>
      <c r="BP21" s="638"/>
      <c r="BQ21" s="638"/>
      <c r="BR21" s="638"/>
      <c r="BS21" s="638"/>
      <c r="BT21" s="638"/>
      <c r="BU21" s="638"/>
      <c r="BV21" s="638"/>
      <c r="BW21" s="638"/>
      <c r="BX21" s="638"/>
      <c r="BY21" s="638"/>
      <c r="BZ21" s="638"/>
      <c r="CA21" s="638"/>
      <c r="CB21" s="638"/>
      <c r="CC21" s="638"/>
      <c r="CD21" s="638"/>
      <c r="CE21" s="638"/>
      <c r="CF21" s="638"/>
      <c r="CG21" s="638"/>
      <c r="CH21" s="638"/>
      <c r="CI21" s="638"/>
      <c r="CJ21" s="638"/>
      <c r="CK21" s="638"/>
      <c r="CL21" s="638"/>
      <c r="CM21" s="638"/>
      <c r="CN21" s="638"/>
      <c r="CO21" s="638"/>
      <c r="CP21" s="638"/>
      <c r="CQ21" s="638"/>
      <c r="CR21" s="638"/>
      <c r="CS21" s="638"/>
      <c r="CT21" s="638"/>
      <c r="CU21" s="638"/>
      <c r="CV21" s="638"/>
      <c r="CW21" s="638"/>
      <c r="CX21" s="638"/>
      <c r="CY21" s="638"/>
      <c r="CZ21" s="638"/>
      <c r="DA21" s="638"/>
      <c r="DB21" s="638"/>
      <c r="DC21" s="638"/>
      <c r="DD21" s="638"/>
      <c r="DE21" s="638"/>
      <c r="DF21" s="638"/>
      <c r="DG21" s="638"/>
      <c r="DH21" s="638"/>
      <c r="DI21" s="638"/>
      <c r="DJ21" s="638"/>
      <c r="DK21" s="638"/>
      <c r="DL21" s="638"/>
      <c r="DM21" s="638"/>
      <c r="DN21" s="638"/>
      <c r="DO21" s="638"/>
      <c r="DP21" s="638"/>
      <c r="DQ21" s="638"/>
      <c r="DR21" s="638"/>
      <c r="DS21" s="638"/>
      <c r="DT21" s="638"/>
      <c r="DU21" s="638"/>
      <c r="DV21" s="638"/>
      <c r="DW21" s="638"/>
      <c r="DX21" s="638"/>
      <c r="DY21" s="638"/>
      <c r="DZ21" s="638"/>
      <c r="EA21" s="638"/>
      <c r="EB21" s="638"/>
      <c r="EC21" s="638"/>
      <c r="ED21" s="638"/>
      <c r="EE21" s="638"/>
      <c r="EF21" s="638"/>
      <c r="EG21" s="638"/>
      <c r="EH21" s="638"/>
      <c r="EI21" s="638"/>
      <c r="EJ21" s="638"/>
      <c r="EK21" s="638"/>
      <c r="EL21" s="638"/>
      <c r="EM21" s="638"/>
      <c r="EN21" s="638"/>
      <c r="EO21" s="638"/>
      <c r="EP21" s="638"/>
      <c r="EQ21" s="638"/>
      <c r="ER21" s="638"/>
      <c r="ES21" s="638"/>
      <c r="ET21" s="638"/>
      <c r="EU21" s="638"/>
      <c r="EV21" s="638"/>
      <c r="EW21" s="638"/>
      <c r="EX21" s="638"/>
      <c r="EY21" s="638"/>
      <c r="EZ21" s="638"/>
      <c r="FA21" s="638"/>
      <c r="FB21" s="638"/>
      <c r="FC21" s="638"/>
      <c r="FD21" s="638"/>
      <c r="FE21" s="638"/>
      <c r="FF21" s="638"/>
      <c r="FG21" s="638"/>
      <c r="FH21" s="638"/>
      <c r="FI21" s="638"/>
      <c r="FJ21" s="638"/>
      <c r="FK21" s="638"/>
      <c r="FL21" s="638"/>
      <c r="FM21" s="638"/>
      <c r="FN21" s="638"/>
      <c r="FO21" s="638"/>
      <c r="FP21" s="638"/>
      <c r="FQ21" s="638"/>
      <c r="FR21" s="638"/>
      <c r="FS21" s="638"/>
      <c r="FT21" s="638"/>
      <c r="FU21" s="638"/>
      <c r="FV21" s="638"/>
      <c r="FW21" s="638"/>
      <c r="FX21" s="638"/>
      <c r="FY21" s="638"/>
      <c r="FZ21" s="638"/>
      <c r="GA21" s="638"/>
      <c r="GB21" s="638"/>
      <c r="GC21" s="638"/>
      <c r="GD21" s="638"/>
      <c r="GE21" s="638"/>
      <c r="GF21" s="638"/>
      <c r="GG21" s="638"/>
      <c r="GH21" s="638"/>
      <c r="GI21" s="638"/>
      <c r="GJ21" s="638"/>
      <c r="GK21" s="638"/>
      <c r="GL21" s="638"/>
      <c r="GM21" s="638"/>
      <c r="GN21" s="638"/>
      <c r="GO21" s="638"/>
      <c r="GP21" s="638"/>
      <c r="GQ21" s="638"/>
      <c r="GR21" s="638"/>
      <c r="GS21" s="638"/>
      <c r="GT21" s="638"/>
      <c r="GU21" s="638"/>
      <c r="GV21" s="638"/>
      <c r="GW21" s="638"/>
      <c r="GX21" s="638"/>
      <c r="GY21" s="638"/>
      <c r="GZ21" s="638"/>
      <c r="HA21" s="638"/>
      <c r="HB21" s="638"/>
      <c r="HC21" s="638"/>
      <c r="HD21" s="638"/>
      <c r="HE21" s="638"/>
      <c r="HF21" s="638"/>
      <c r="HG21" s="638"/>
      <c r="HH21" s="638"/>
      <c r="HI21" s="638"/>
      <c r="HJ21" s="638"/>
      <c r="HK21" s="638"/>
      <c r="HL21" s="638"/>
      <c r="HM21" s="638"/>
      <c r="HN21" s="638"/>
      <c r="HO21" s="638"/>
      <c r="HP21" s="638"/>
      <c r="HQ21" s="638"/>
      <c r="HR21" s="638"/>
      <c r="HS21" s="638"/>
      <c r="HT21" s="638"/>
      <c r="HU21" s="638"/>
      <c r="HV21" s="638"/>
      <c r="HW21" s="638"/>
      <c r="HX21" s="638"/>
      <c r="HY21" s="638"/>
      <c r="HZ21" s="638"/>
      <c r="IA21" s="638"/>
      <c r="IB21" s="638"/>
      <c r="IC21" s="638"/>
      <c r="ID21" s="638"/>
      <c r="IE21" s="638"/>
      <c r="IF21" s="638"/>
      <c r="IG21" s="638"/>
      <c r="IH21" s="638"/>
      <c r="II21" s="638"/>
      <c r="IJ21" s="638"/>
      <c r="IK21" s="638"/>
      <c r="IL21" s="638"/>
      <c r="IM21" s="638"/>
      <c r="IN21" s="638"/>
      <c r="IO21" s="638"/>
      <c r="IP21" s="638"/>
      <c r="IQ21" s="638"/>
      <c r="IR21" s="638"/>
      <c r="IS21" s="638"/>
      <c r="IT21" s="638"/>
      <c r="IU21" s="638"/>
      <c r="IV21" s="638"/>
    </row>
    <row r="22" spans="1:256" ht="17.25" customHeight="1">
      <c r="A22" s="640">
        <v>18</v>
      </c>
      <c r="B22" s="650" t="s">
        <v>292</v>
      </c>
      <c r="C22" s="651"/>
      <c r="D22" s="581">
        <v>387.5</v>
      </c>
      <c r="E22" s="581">
        <v>387.5</v>
      </c>
      <c r="F22" s="582">
        <v>387.5</v>
      </c>
      <c r="G22" s="581">
        <v>387.5</v>
      </c>
      <c r="H22" s="581">
        <v>387.5</v>
      </c>
      <c r="I22" s="581">
        <v>387.5</v>
      </c>
      <c r="J22" s="413">
        <v>0</v>
      </c>
      <c r="K22" s="581">
        <v>0</v>
      </c>
      <c r="L22" s="582">
        <v>387.5</v>
      </c>
      <c r="M22" s="581">
        <v>387.5</v>
      </c>
      <c r="N22" s="582">
        <v>387.5</v>
      </c>
      <c r="O22" s="581">
        <v>387.5</v>
      </c>
      <c r="P22" s="678">
        <f t="shared" si="2"/>
        <v>3875</v>
      </c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641"/>
      <c r="AB22" s="641"/>
      <c r="AC22" s="641"/>
      <c r="AD22" s="641"/>
      <c r="AE22" s="641"/>
      <c r="AF22" s="641"/>
      <c r="AG22" s="641"/>
      <c r="AH22" s="641"/>
      <c r="AI22" s="641"/>
      <c r="AJ22" s="641"/>
      <c r="AK22" s="641"/>
      <c r="AL22" s="641"/>
      <c r="AM22" s="641"/>
      <c r="AN22" s="641"/>
      <c r="AO22" s="641"/>
      <c r="AP22" s="641"/>
      <c r="AQ22" s="641"/>
      <c r="AR22" s="641"/>
      <c r="AS22" s="641"/>
      <c r="AT22" s="641"/>
      <c r="AU22" s="641"/>
      <c r="AV22" s="641"/>
      <c r="AW22" s="641"/>
      <c r="AX22" s="641"/>
      <c r="AY22" s="641"/>
      <c r="AZ22" s="641"/>
      <c r="BA22" s="641"/>
      <c r="BB22" s="641"/>
      <c r="BC22" s="641"/>
      <c r="BD22" s="641"/>
      <c r="BE22" s="641"/>
      <c r="BF22" s="641"/>
      <c r="BG22" s="641"/>
      <c r="BH22" s="641"/>
      <c r="BI22" s="641"/>
      <c r="BJ22" s="641"/>
      <c r="BK22" s="641"/>
      <c r="BL22" s="641"/>
      <c r="BM22" s="641"/>
      <c r="BN22" s="641"/>
      <c r="BO22" s="641"/>
      <c r="BP22" s="641"/>
      <c r="BQ22" s="641"/>
      <c r="BR22" s="641"/>
      <c r="BS22" s="641"/>
      <c r="BT22" s="641"/>
      <c r="BU22" s="641"/>
      <c r="BV22" s="641"/>
      <c r="BW22" s="641"/>
      <c r="BX22" s="641"/>
      <c r="BY22" s="641"/>
      <c r="BZ22" s="641"/>
      <c r="CA22" s="641"/>
      <c r="CB22" s="641"/>
      <c r="CC22" s="641"/>
      <c r="CD22" s="641"/>
      <c r="CE22" s="641"/>
      <c r="CF22" s="641"/>
      <c r="CG22" s="641"/>
      <c r="CH22" s="641"/>
      <c r="CI22" s="641"/>
      <c r="CJ22" s="641"/>
      <c r="CK22" s="641"/>
      <c r="CL22" s="641"/>
      <c r="CM22" s="641"/>
      <c r="CN22" s="641"/>
      <c r="CO22" s="641"/>
      <c r="CP22" s="641"/>
      <c r="CQ22" s="641"/>
      <c r="CR22" s="641"/>
      <c r="CS22" s="641"/>
      <c r="CT22" s="641"/>
      <c r="CU22" s="641"/>
      <c r="CV22" s="641"/>
      <c r="CW22" s="641"/>
      <c r="CX22" s="641"/>
      <c r="CY22" s="641"/>
      <c r="CZ22" s="641"/>
      <c r="DA22" s="641"/>
      <c r="DB22" s="641"/>
      <c r="DC22" s="641"/>
      <c r="DD22" s="641"/>
      <c r="DE22" s="641"/>
      <c r="DF22" s="641"/>
      <c r="DG22" s="641"/>
      <c r="DH22" s="641"/>
      <c r="DI22" s="641"/>
      <c r="DJ22" s="641"/>
      <c r="DK22" s="641"/>
      <c r="DL22" s="641"/>
      <c r="DM22" s="641"/>
      <c r="DN22" s="641"/>
      <c r="DO22" s="641"/>
      <c r="DP22" s="641"/>
      <c r="DQ22" s="641"/>
      <c r="DR22" s="641"/>
      <c r="DS22" s="641"/>
      <c r="DT22" s="641"/>
      <c r="DU22" s="641"/>
      <c r="DV22" s="641"/>
      <c r="DW22" s="641"/>
      <c r="DX22" s="641"/>
      <c r="DY22" s="641"/>
      <c r="DZ22" s="641"/>
      <c r="EA22" s="641"/>
      <c r="EB22" s="641"/>
      <c r="EC22" s="641"/>
      <c r="ED22" s="641"/>
      <c r="EE22" s="641"/>
      <c r="EF22" s="641"/>
      <c r="EG22" s="641"/>
      <c r="EH22" s="641"/>
      <c r="EI22" s="641"/>
      <c r="EJ22" s="641"/>
      <c r="EK22" s="641"/>
      <c r="EL22" s="641"/>
      <c r="EM22" s="641"/>
      <c r="EN22" s="641"/>
      <c r="EO22" s="641"/>
      <c r="EP22" s="641"/>
      <c r="EQ22" s="641"/>
      <c r="ER22" s="641"/>
      <c r="ES22" s="641"/>
      <c r="ET22" s="641"/>
      <c r="EU22" s="641"/>
      <c r="EV22" s="641"/>
      <c r="EW22" s="641"/>
      <c r="EX22" s="641"/>
      <c r="EY22" s="641"/>
      <c r="EZ22" s="641"/>
      <c r="FA22" s="641"/>
      <c r="FB22" s="641"/>
      <c r="FC22" s="641"/>
      <c r="FD22" s="641"/>
      <c r="FE22" s="641"/>
      <c r="FF22" s="641"/>
      <c r="FG22" s="641"/>
      <c r="FH22" s="641"/>
      <c r="FI22" s="641"/>
      <c r="FJ22" s="641"/>
      <c r="FK22" s="641"/>
      <c r="FL22" s="641"/>
      <c r="FM22" s="641"/>
      <c r="FN22" s="641"/>
      <c r="FO22" s="641"/>
      <c r="FP22" s="641"/>
      <c r="FQ22" s="641"/>
      <c r="FR22" s="641"/>
      <c r="FS22" s="641"/>
      <c r="FT22" s="641"/>
      <c r="FU22" s="641"/>
      <c r="FV22" s="641"/>
      <c r="FW22" s="641"/>
      <c r="FX22" s="641"/>
      <c r="FY22" s="641"/>
      <c r="FZ22" s="641"/>
      <c r="GA22" s="641"/>
      <c r="GB22" s="641"/>
      <c r="GC22" s="641"/>
      <c r="GD22" s="641"/>
      <c r="GE22" s="641"/>
      <c r="GF22" s="641"/>
      <c r="GG22" s="641"/>
      <c r="GH22" s="641"/>
      <c r="GI22" s="641"/>
      <c r="GJ22" s="641"/>
      <c r="GK22" s="641"/>
      <c r="GL22" s="641"/>
      <c r="GM22" s="641"/>
      <c r="GN22" s="641"/>
      <c r="GO22" s="641"/>
      <c r="GP22" s="641"/>
      <c r="GQ22" s="641"/>
      <c r="GR22" s="641"/>
      <c r="GS22" s="641"/>
      <c r="GT22" s="641"/>
      <c r="GU22" s="641"/>
      <c r="GV22" s="641"/>
      <c r="GW22" s="641"/>
      <c r="GX22" s="641"/>
      <c r="GY22" s="641"/>
      <c r="GZ22" s="641"/>
      <c r="HA22" s="641"/>
      <c r="HB22" s="641"/>
      <c r="HC22" s="641"/>
      <c r="HD22" s="641"/>
      <c r="HE22" s="641"/>
      <c r="HF22" s="641"/>
      <c r="HG22" s="641"/>
      <c r="HH22" s="641"/>
      <c r="HI22" s="641"/>
      <c r="HJ22" s="641"/>
      <c r="HK22" s="641"/>
      <c r="HL22" s="641"/>
      <c r="HM22" s="641"/>
      <c r="HN22" s="641"/>
      <c r="HO22" s="641"/>
      <c r="HP22" s="641"/>
      <c r="HQ22" s="641"/>
      <c r="HR22" s="641"/>
      <c r="HS22" s="641"/>
      <c r="HT22" s="641"/>
      <c r="HU22" s="641"/>
      <c r="HV22" s="641"/>
      <c r="HW22" s="641"/>
      <c r="HX22" s="641"/>
      <c r="HY22" s="641"/>
      <c r="HZ22" s="641"/>
      <c r="IA22" s="641"/>
      <c r="IB22" s="641"/>
      <c r="IC22" s="641"/>
      <c r="ID22" s="641"/>
      <c r="IE22" s="641"/>
      <c r="IF22" s="641"/>
      <c r="IG22" s="641"/>
      <c r="IH22" s="641"/>
      <c r="II22" s="641"/>
      <c r="IJ22" s="641"/>
      <c r="IK22" s="641"/>
      <c r="IL22" s="641"/>
      <c r="IM22" s="641"/>
      <c r="IN22" s="641"/>
      <c r="IO22" s="641"/>
      <c r="IP22" s="641"/>
      <c r="IQ22" s="641"/>
      <c r="IR22" s="641"/>
      <c r="IS22" s="641"/>
      <c r="IT22" s="641"/>
      <c r="IU22" s="641"/>
      <c r="IV22" s="641"/>
    </row>
    <row r="23" spans="1:256" ht="17.25" customHeight="1">
      <c r="A23" s="642">
        <v>19</v>
      </c>
      <c r="B23" s="652" t="s">
        <v>293</v>
      </c>
      <c r="C23" s="653"/>
      <c r="D23" s="584">
        <v>275</v>
      </c>
      <c r="E23" s="584">
        <v>275</v>
      </c>
      <c r="F23" s="583">
        <v>275</v>
      </c>
      <c r="G23" s="584">
        <v>275</v>
      </c>
      <c r="H23" s="584">
        <v>275</v>
      </c>
      <c r="I23" s="584">
        <v>275</v>
      </c>
      <c r="J23" s="368">
        <v>0</v>
      </c>
      <c r="K23" s="581">
        <v>0</v>
      </c>
      <c r="L23" s="582">
        <v>275</v>
      </c>
      <c r="M23" s="581">
        <v>275</v>
      </c>
      <c r="N23" s="582">
        <v>275</v>
      </c>
      <c r="O23" s="581">
        <v>275</v>
      </c>
      <c r="P23" s="678">
        <f t="shared" si="2"/>
        <v>2750</v>
      </c>
      <c r="Q23" s="641"/>
      <c r="R23" s="641"/>
      <c r="S23" s="641"/>
      <c r="T23" s="641"/>
      <c r="U23" s="641"/>
      <c r="V23" s="641"/>
      <c r="W23" s="641"/>
      <c r="X23" s="641"/>
      <c r="Y23" s="641"/>
      <c r="Z23" s="641"/>
      <c r="AA23" s="641"/>
      <c r="AB23" s="641"/>
      <c r="AC23" s="641"/>
      <c r="AD23" s="641"/>
      <c r="AE23" s="641"/>
      <c r="AF23" s="641"/>
      <c r="AG23" s="641"/>
      <c r="AH23" s="641"/>
      <c r="AI23" s="641"/>
      <c r="AJ23" s="641"/>
      <c r="AK23" s="641"/>
      <c r="AL23" s="641"/>
      <c r="AM23" s="641"/>
      <c r="AN23" s="641"/>
      <c r="AO23" s="641"/>
      <c r="AP23" s="641"/>
      <c r="AQ23" s="641"/>
      <c r="AR23" s="641"/>
      <c r="AS23" s="641"/>
      <c r="AT23" s="641"/>
      <c r="AU23" s="641"/>
      <c r="AV23" s="641"/>
      <c r="AW23" s="641"/>
      <c r="AX23" s="641"/>
      <c r="AY23" s="641"/>
      <c r="AZ23" s="641"/>
      <c r="BA23" s="641"/>
      <c r="BB23" s="641"/>
      <c r="BC23" s="641"/>
      <c r="BD23" s="641"/>
      <c r="BE23" s="641"/>
      <c r="BF23" s="641"/>
      <c r="BG23" s="641"/>
      <c r="BH23" s="641"/>
      <c r="BI23" s="641"/>
      <c r="BJ23" s="641"/>
      <c r="BK23" s="641"/>
      <c r="BL23" s="641"/>
      <c r="BM23" s="641"/>
      <c r="BN23" s="641"/>
      <c r="BO23" s="641"/>
      <c r="BP23" s="641"/>
      <c r="BQ23" s="641"/>
      <c r="BR23" s="641"/>
      <c r="BS23" s="641"/>
      <c r="BT23" s="641"/>
      <c r="BU23" s="641"/>
      <c r="BV23" s="641"/>
      <c r="BW23" s="641"/>
      <c r="BX23" s="641"/>
      <c r="BY23" s="641"/>
      <c r="BZ23" s="641"/>
      <c r="CA23" s="641"/>
      <c r="CB23" s="641"/>
      <c r="CC23" s="641"/>
      <c r="CD23" s="641"/>
      <c r="CE23" s="641"/>
      <c r="CF23" s="641"/>
      <c r="CG23" s="641"/>
      <c r="CH23" s="641"/>
      <c r="CI23" s="641"/>
      <c r="CJ23" s="641"/>
      <c r="CK23" s="641"/>
      <c r="CL23" s="641"/>
      <c r="CM23" s="641"/>
      <c r="CN23" s="641"/>
      <c r="CO23" s="641"/>
      <c r="CP23" s="641"/>
      <c r="CQ23" s="641"/>
      <c r="CR23" s="641"/>
      <c r="CS23" s="641"/>
      <c r="CT23" s="641"/>
      <c r="CU23" s="641"/>
      <c r="CV23" s="641"/>
      <c r="CW23" s="641"/>
      <c r="CX23" s="641"/>
      <c r="CY23" s="641"/>
      <c r="CZ23" s="641"/>
      <c r="DA23" s="641"/>
      <c r="DB23" s="641"/>
      <c r="DC23" s="641"/>
      <c r="DD23" s="641"/>
      <c r="DE23" s="641"/>
      <c r="DF23" s="641"/>
      <c r="DG23" s="641"/>
      <c r="DH23" s="641"/>
      <c r="DI23" s="641"/>
      <c r="DJ23" s="641"/>
      <c r="DK23" s="641"/>
      <c r="DL23" s="641"/>
      <c r="DM23" s="641"/>
      <c r="DN23" s="641"/>
      <c r="DO23" s="641"/>
      <c r="DP23" s="641"/>
      <c r="DQ23" s="641"/>
      <c r="DR23" s="641"/>
      <c r="DS23" s="641"/>
      <c r="DT23" s="641"/>
      <c r="DU23" s="641"/>
      <c r="DV23" s="641"/>
      <c r="DW23" s="641"/>
      <c r="DX23" s="641"/>
      <c r="DY23" s="641"/>
      <c r="DZ23" s="641"/>
      <c r="EA23" s="641"/>
      <c r="EB23" s="641"/>
      <c r="EC23" s="641"/>
      <c r="ED23" s="641"/>
      <c r="EE23" s="641"/>
      <c r="EF23" s="641"/>
      <c r="EG23" s="641"/>
      <c r="EH23" s="641"/>
      <c r="EI23" s="641"/>
      <c r="EJ23" s="641"/>
      <c r="EK23" s="641"/>
      <c r="EL23" s="641"/>
      <c r="EM23" s="641"/>
      <c r="EN23" s="641"/>
      <c r="EO23" s="641"/>
      <c r="EP23" s="641"/>
      <c r="EQ23" s="641"/>
      <c r="ER23" s="641"/>
      <c r="ES23" s="641"/>
      <c r="ET23" s="641"/>
      <c r="EU23" s="641"/>
      <c r="EV23" s="641"/>
      <c r="EW23" s="641"/>
      <c r="EX23" s="641"/>
      <c r="EY23" s="641"/>
      <c r="EZ23" s="641"/>
      <c r="FA23" s="641"/>
      <c r="FB23" s="641"/>
      <c r="FC23" s="641"/>
      <c r="FD23" s="641"/>
      <c r="FE23" s="641"/>
      <c r="FF23" s="641"/>
      <c r="FG23" s="641"/>
      <c r="FH23" s="641"/>
      <c r="FI23" s="641"/>
      <c r="FJ23" s="641"/>
      <c r="FK23" s="641"/>
      <c r="FL23" s="641"/>
      <c r="FM23" s="641"/>
      <c r="FN23" s="641"/>
      <c r="FO23" s="641"/>
      <c r="FP23" s="641"/>
      <c r="FQ23" s="641"/>
      <c r="FR23" s="641"/>
      <c r="FS23" s="641"/>
      <c r="FT23" s="641"/>
      <c r="FU23" s="641"/>
      <c r="FV23" s="641"/>
      <c r="FW23" s="641"/>
      <c r="FX23" s="641"/>
      <c r="FY23" s="641"/>
      <c r="FZ23" s="641"/>
      <c r="GA23" s="641"/>
      <c r="GB23" s="641"/>
      <c r="GC23" s="641"/>
      <c r="GD23" s="641"/>
      <c r="GE23" s="641"/>
      <c r="GF23" s="641"/>
      <c r="GG23" s="641"/>
      <c r="GH23" s="641"/>
      <c r="GI23" s="641"/>
      <c r="GJ23" s="641"/>
      <c r="GK23" s="641"/>
      <c r="GL23" s="641"/>
      <c r="GM23" s="641"/>
      <c r="GN23" s="641"/>
      <c r="GO23" s="641"/>
      <c r="GP23" s="641"/>
      <c r="GQ23" s="641"/>
      <c r="GR23" s="641"/>
      <c r="GS23" s="641"/>
      <c r="GT23" s="641"/>
      <c r="GU23" s="641"/>
      <c r="GV23" s="641"/>
      <c r="GW23" s="641"/>
      <c r="GX23" s="641"/>
      <c r="GY23" s="641"/>
      <c r="GZ23" s="641"/>
      <c r="HA23" s="641"/>
      <c r="HB23" s="641"/>
      <c r="HC23" s="641"/>
      <c r="HD23" s="641"/>
      <c r="HE23" s="641"/>
      <c r="HF23" s="641"/>
      <c r="HG23" s="641"/>
      <c r="HH23" s="641"/>
      <c r="HI23" s="641"/>
      <c r="HJ23" s="641"/>
      <c r="HK23" s="641"/>
      <c r="HL23" s="641"/>
      <c r="HM23" s="641"/>
      <c r="HN23" s="641"/>
      <c r="HO23" s="641"/>
      <c r="HP23" s="641"/>
      <c r="HQ23" s="641"/>
      <c r="HR23" s="641"/>
      <c r="HS23" s="641"/>
      <c r="HT23" s="641"/>
      <c r="HU23" s="641"/>
      <c r="HV23" s="641"/>
      <c r="HW23" s="641"/>
      <c r="HX23" s="641"/>
      <c r="HY23" s="641"/>
      <c r="HZ23" s="641"/>
      <c r="IA23" s="641"/>
      <c r="IB23" s="641"/>
      <c r="IC23" s="641"/>
      <c r="ID23" s="641"/>
      <c r="IE23" s="641"/>
      <c r="IF23" s="641"/>
      <c r="IG23" s="641"/>
      <c r="IH23" s="641"/>
      <c r="II23" s="641"/>
      <c r="IJ23" s="641"/>
      <c r="IK23" s="641"/>
      <c r="IL23" s="641"/>
      <c r="IM23" s="641"/>
      <c r="IN23" s="641"/>
      <c r="IO23" s="641"/>
      <c r="IP23" s="641"/>
      <c r="IQ23" s="641"/>
      <c r="IR23" s="641"/>
      <c r="IS23" s="641"/>
      <c r="IT23" s="641"/>
      <c r="IU23" s="641"/>
      <c r="IV23" s="641"/>
    </row>
    <row r="24" spans="1:256" ht="17.25" customHeight="1" thickBot="1">
      <c r="A24" s="642">
        <v>20</v>
      </c>
      <c r="B24" s="652" t="s">
        <v>294</v>
      </c>
      <c r="C24" s="653"/>
      <c r="D24" s="584">
        <v>109</v>
      </c>
      <c r="E24" s="584">
        <v>109</v>
      </c>
      <c r="F24" s="584">
        <v>109</v>
      </c>
      <c r="G24" s="584">
        <v>109</v>
      </c>
      <c r="H24" s="584">
        <v>109</v>
      </c>
      <c r="I24" s="584">
        <v>109</v>
      </c>
      <c r="J24" s="368">
        <v>0</v>
      </c>
      <c r="K24" s="581">
        <v>0</v>
      </c>
      <c r="L24" s="582">
        <v>109</v>
      </c>
      <c r="M24" s="581">
        <v>109</v>
      </c>
      <c r="N24" s="582">
        <v>109</v>
      </c>
      <c r="O24" s="581">
        <v>109</v>
      </c>
      <c r="P24" s="678">
        <f t="shared" si="2"/>
        <v>1090</v>
      </c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41"/>
      <c r="BG24" s="641"/>
      <c r="BH24" s="641"/>
      <c r="BI24" s="641"/>
      <c r="BJ24" s="641"/>
      <c r="BK24" s="641"/>
      <c r="BL24" s="641"/>
      <c r="BM24" s="641"/>
      <c r="BN24" s="641"/>
      <c r="BO24" s="641"/>
      <c r="BP24" s="641"/>
      <c r="BQ24" s="641"/>
      <c r="BR24" s="641"/>
      <c r="BS24" s="641"/>
      <c r="BT24" s="641"/>
      <c r="BU24" s="641"/>
      <c r="BV24" s="641"/>
      <c r="BW24" s="641"/>
      <c r="BX24" s="641"/>
      <c r="BY24" s="641"/>
      <c r="BZ24" s="641"/>
      <c r="CA24" s="641"/>
      <c r="CB24" s="641"/>
      <c r="CC24" s="641"/>
      <c r="CD24" s="641"/>
      <c r="CE24" s="641"/>
      <c r="CF24" s="641"/>
      <c r="CG24" s="641"/>
      <c r="CH24" s="641"/>
      <c r="CI24" s="641"/>
      <c r="CJ24" s="641"/>
      <c r="CK24" s="641"/>
      <c r="CL24" s="641"/>
      <c r="CM24" s="641"/>
      <c r="CN24" s="641"/>
      <c r="CO24" s="641"/>
      <c r="CP24" s="641"/>
      <c r="CQ24" s="641"/>
      <c r="CR24" s="641"/>
      <c r="CS24" s="641"/>
      <c r="CT24" s="641"/>
      <c r="CU24" s="641"/>
      <c r="CV24" s="641"/>
      <c r="CW24" s="641"/>
      <c r="CX24" s="641"/>
      <c r="CY24" s="641"/>
      <c r="CZ24" s="641"/>
      <c r="DA24" s="641"/>
      <c r="DB24" s="641"/>
      <c r="DC24" s="641"/>
      <c r="DD24" s="641"/>
      <c r="DE24" s="641"/>
      <c r="DF24" s="641"/>
      <c r="DG24" s="641"/>
      <c r="DH24" s="641"/>
      <c r="DI24" s="641"/>
      <c r="DJ24" s="641"/>
      <c r="DK24" s="641"/>
      <c r="DL24" s="641"/>
      <c r="DM24" s="641"/>
      <c r="DN24" s="641"/>
      <c r="DO24" s="641"/>
      <c r="DP24" s="641"/>
      <c r="DQ24" s="641"/>
      <c r="DR24" s="641"/>
      <c r="DS24" s="641"/>
      <c r="DT24" s="641"/>
      <c r="DU24" s="641"/>
      <c r="DV24" s="641"/>
      <c r="DW24" s="641"/>
      <c r="DX24" s="641"/>
      <c r="DY24" s="641"/>
      <c r="DZ24" s="641"/>
      <c r="EA24" s="641"/>
      <c r="EB24" s="641"/>
      <c r="EC24" s="641"/>
      <c r="ED24" s="641"/>
      <c r="EE24" s="641"/>
      <c r="EF24" s="641"/>
      <c r="EG24" s="641"/>
      <c r="EH24" s="641"/>
      <c r="EI24" s="641"/>
      <c r="EJ24" s="641"/>
      <c r="EK24" s="641"/>
      <c r="EL24" s="641"/>
      <c r="EM24" s="641"/>
      <c r="EN24" s="641"/>
      <c r="EO24" s="641"/>
      <c r="EP24" s="641"/>
      <c r="EQ24" s="641"/>
      <c r="ER24" s="641"/>
      <c r="ES24" s="641"/>
      <c r="ET24" s="641"/>
      <c r="EU24" s="641"/>
      <c r="EV24" s="641"/>
      <c r="EW24" s="641"/>
      <c r="EX24" s="641"/>
      <c r="EY24" s="641"/>
      <c r="EZ24" s="641"/>
      <c r="FA24" s="641"/>
      <c r="FB24" s="641"/>
      <c r="FC24" s="641"/>
      <c r="FD24" s="641"/>
      <c r="FE24" s="641"/>
      <c r="FF24" s="641"/>
      <c r="FG24" s="641"/>
      <c r="FH24" s="641"/>
      <c r="FI24" s="641"/>
      <c r="FJ24" s="641"/>
      <c r="FK24" s="641"/>
      <c r="FL24" s="641"/>
      <c r="FM24" s="641"/>
      <c r="FN24" s="641"/>
      <c r="FO24" s="641"/>
      <c r="FP24" s="641"/>
      <c r="FQ24" s="641"/>
      <c r="FR24" s="641"/>
      <c r="FS24" s="641"/>
      <c r="FT24" s="641"/>
      <c r="FU24" s="641"/>
      <c r="FV24" s="641"/>
      <c r="FW24" s="641"/>
      <c r="FX24" s="641"/>
      <c r="FY24" s="641"/>
      <c r="FZ24" s="641"/>
      <c r="GA24" s="641"/>
      <c r="GB24" s="641"/>
      <c r="GC24" s="641"/>
      <c r="GD24" s="641"/>
      <c r="GE24" s="641"/>
      <c r="GF24" s="641"/>
      <c r="GG24" s="641"/>
      <c r="GH24" s="641"/>
      <c r="GI24" s="641"/>
      <c r="GJ24" s="641"/>
      <c r="GK24" s="641"/>
      <c r="GL24" s="641"/>
      <c r="GM24" s="641"/>
      <c r="GN24" s="641"/>
      <c r="GO24" s="641"/>
      <c r="GP24" s="641"/>
      <c r="GQ24" s="641"/>
      <c r="GR24" s="641"/>
      <c r="GS24" s="641"/>
      <c r="GT24" s="641"/>
      <c r="GU24" s="641"/>
      <c r="GV24" s="641"/>
      <c r="GW24" s="641"/>
      <c r="GX24" s="641"/>
      <c r="GY24" s="641"/>
      <c r="GZ24" s="641"/>
      <c r="HA24" s="641"/>
      <c r="HB24" s="641"/>
      <c r="HC24" s="641"/>
      <c r="HD24" s="641"/>
      <c r="HE24" s="641"/>
      <c r="HF24" s="641"/>
      <c r="HG24" s="641"/>
      <c r="HH24" s="641"/>
      <c r="HI24" s="641"/>
      <c r="HJ24" s="641"/>
      <c r="HK24" s="641"/>
      <c r="HL24" s="641"/>
      <c r="HM24" s="641"/>
      <c r="HN24" s="641"/>
      <c r="HO24" s="641"/>
      <c r="HP24" s="641"/>
      <c r="HQ24" s="641"/>
      <c r="HR24" s="641"/>
      <c r="HS24" s="641"/>
      <c r="HT24" s="641"/>
      <c r="HU24" s="641"/>
      <c r="HV24" s="641"/>
      <c r="HW24" s="641"/>
      <c r="HX24" s="641"/>
      <c r="HY24" s="641"/>
      <c r="HZ24" s="641"/>
      <c r="IA24" s="641"/>
      <c r="IB24" s="641"/>
      <c r="IC24" s="641"/>
      <c r="ID24" s="641"/>
      <c r="IE24" s="641"/>
      <c r="IF24" s="641"/>
      <c r="IG24" s="641"/>
      <c r="IH24" s="641"/>
      <c r="II24" s="641"/>
      <c r="IJ24" s="641"/>
      <c r="IK24" s="641"/>
      <c r="IL24" s="641"/>
      <c r="IM24" s="641"/>
      <c r="IN24" s="641"/>
      <c r="IO24" s="641"/>
      <c r="IP24" s="641"/>
      <c r="IQ24" s="641"/>
      <c r="IR24" s="641"/>
      <c r="IS24" s="641"/>
      <c r="IT24" s="641"/>
      <c r="IU24" s="641"/>
      <c r="IV24" s="641"/>
    </row>
    <row r="25" spans="1:256" ht="15.75" thickBot="1">
      <c r="A25" s="663" t="s">
        <v>42</v>
      </c>
      <c r="B25" s="858" t="s">
        <v>291</v>
      </c>
      <c r="C25" s="859"/>
      <c r="D25" s="667">
        <f>D22+D23+D24</f>
        <v>771.5</v>
      </c>
      <c r="E25" s="667">
        <f aca="true" t="shared" si="4" ref="E25:P25">E22+E23+E24</f>
        <v>771.5</v>
      </c>
      <c r="F25" s="668">
        <f>F22+F23+F24</f>
        <v>771.5</v>
      </c>
      <c r="G25" s="668">
        <f t="shared" si="4"/>
        <v>771.5</v>
      </c>
      <c r="H25" s="668">
        <f t="shared" si="4"/>
        <v>771.5</v>
      </c>
      <c r="I25" s="668">
        <f t="shared" si="4"/>
        <v>771.5</v>
      </c>
      <c r="J25" s="668">
        <f t="shared" si="4"/>
        <v>0</v>
      </c>
      <c r="K25" s="668">
        <f t="shared" si="4"/>
        <v>0</v>
      </c>
      <c r="L25" s="668">
        <f t="shared" si="4"/>
        <v>771.5</v>
      </c>
      <c r="M25" s="668">
        <f t="shared" si="4"/>
        <v>771.5</v>
      </c>
      <c r="N25" s="668">
        <f t="shared" si="4"/>
        <v>771.5</v>
      </c>
      <c r="O25" s="668">
        <f t="shared" si="4"/>
        <v>771.5</v>
      </c>
      <c r="P25" s="588">
        <f t="shared" si="4"/>
        <v>7715</v>
      </c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4"/>
      <c r="AJ25" s="654"/>
      <c r="AK25" s="654"/>
      <c r="AL25" s="654"/>
      <c r="AM25" s="654"/>
      <c r="AN25" s="654"/>
      <c r="AO25" s="654"/>
      <c r="AP25" s="654"/>
      <c r="AQ25" s="654"/>
      <c r="AR25" s="654"/>
      <c r="AS25" s="654"/>
      <c r="AT25" s="654"/>
      <c r="AU25" s="654"/>
      <c r="AV25" s="654"/>
      <c r="AW25" s="654"/>
      <c r="AX25" s="654"/>
      <c r="AY25" s="654"/>
      <c r="AZ25" s="654"/>
      <c r="BA25" s="654"/>
      <c r="BB25" s="654"/>
      <c r="BC25" s="654"/>
      <c r="BD25" s="654"/>
      <c r="BE25" s="654"/>
      <c r="BF25" s="654"/>
      <c r="BG25" s="654"/>
      <c r="BH25" s="654"/>
      <c r="BI25" s="654"/>
      <c r="BJ25" s="654"/>
      <c r="BK25" s="654"/>
      <c r="BL25" s="654"/>
      <c r="BM25" s="654"/>
      <c r="BN25" s="654"/>
      <c r="BO25" s="654"/>
      <c r="BP25" s="654"/>
      <c r="BQ25" s="654"/>
      <c r="BR25" s="654"/>
      <c r="BS25" s="654"/>
      <c r="BT25" s="654"/>
      <c r="BU25" s="654"/>
      <c r="BV25" s="654"/>
      <c r="BW25" s="654"/>
      <c r="BX25" s="654"/>
      <c r="BY25" s="654"/>
      <c r="BZ25" s="654"/>
      <c r="CA25" s="654"/>
      <c r="CB25" s="654"/>
      <c r="CC25" s="654"/>
      <c r="CD25" s="654"/>
      <c r="CE25" s="654"/>
      <c r="CF25" s="654"/>
      <c r="CG25" s="654"/>
      <c r="CH25" s="654"/>
      <c r="CI25" s="654"/>
      <c r="CJ25" s="654"/>
      <c r="CK25" s="654"/>
      <c r="CL25" s="654"/>
      <c r="CM25" s="654"/>
      <c r="CN25" s="654"/>
      <c r="CO25" s="654"/>
      <c r="CP25" s="654"/>
      <c r="CQ25" s="654"/>
      <c r="CR25" s="654"/>
      <c r="CS25" s="654"/>
      <c r="CT25" s="654"/>
      <c r="CU25" s="654"/>
      <c r="CV25" s="654"/>
      <c r="CW25" s="654"/>
      <c r="CX25" s="654"/>
      <c r="CY25" s="654"/>
      <c r="CZ25" s="654"/>
      <c r="DA25" s="654"/>
      <c r="DB25" s="654"/>
      <c r="DC25" s="654"/>
      <c r="DD25" s="654"/>
      <c r="DE25" s="654"/>
      <c r="DF25" s="654"/>
      <c r="DG25" s="654"/>
      <c r="DH25" s="654"/>
      <c r="DI25" s="654"/>
      <c r="DJ25" s="654"/>
      <c r="DK25" s="654"/>
      <c r="DL25" s="654"/>
      <c r="DM25" s="654"/>
      <c r="DN25" s="654"/>
      <c r="DO25" s="654"/>
      <c r="DP25" s="654"/>
      <c r="DQ25" s="654"/>
      <c r="DR25" s="654"/>
      <c r="DS25" s="654"/>
      <c r="DT25" s="654"/>
      <c r="DU25" s="654"/>
      <c r="DV25" s="654"/>
      <c r="DW25" s="654"/>
      <c r="DX25" s="654"/>
      <c r="DY25" s="654"/>
      <c r="DZ25" s="654"/>
      <c r="EA25" s="654"/>
      <c r="EB25" s="654"/>
      <c r="EC25" s="654"/>
      <c r="ED25" s="654"/>
      <c r="EE25" s="654"/>
      <c r="EF25" s="654"/>
      <c r="EG25" s="654"/>
      <c r="EH25" s="654"/>
      <c r="EI25" s="654"/>
      <c r="EJ25" s="654"/>
      <c r="EK25" s="654"/>
      <c r="EL25" s="654"/>
      <c r="EM25" s="654"/>
      <c r="EN25" s="654"/>
      <c r="EO25" s="654"/>
      <c r="EP25" s="654"/>
      <c r="EQ25" s="654"/>
      <c r="ER25" s="654"/>
      <c r="ES25" s="654"/>
      <c r="ET25" s="654"/>
      <c r="EU25" s="654"/>
      <c r="EV25" s="654"/>
      <c r="EW25" s="654"/>
      <c r="EX25" s="654"/>
      <c r="EY25" s="654"/>
      <c r="EZ25" s="654"/>
      <c r="FA25" s="654"/>
      <c r="FB25" s="654"/>
      <c r="FC25" s="654"/>
      <c r="FD25" s="654"/>
      <c r="FE25" s="654"/>
      <c r="FF25" s="654"/>
      <c r="FG25" s="654"/>
      <c r="FH25" s="654"/>
      <c r="FI25" s="654"/>
      <c r="FJ25" s="654"/>
      <c r="FK25" s="654"/>
      <c r="FL25" s="654"/>
      <c r="FM25" s="654"/>
      <c r="FN25" s="654"/>
      <c r="FO25" s="654"/>
      <c r="FP25" s="654"/>
      <c r="FQ25" s="654"/>
      <c r="FR25" s="654"/>
      <c r="FS25" s="654"/>
      <c r="FT25" s="654"/>
      <c r="FU25" s="654"/>
      <c r="FV25" s="654"/>
      <c r="FW25" s="654"/>
      <c r="FX25" s="654"/>
      <c r="FY25" s="654"/>
      <c r="FZ25" s="654"/>
      <c r="GA25" s="654"/>
      <c r="GB25" s="654"/>
      <c r="GC25" s="654"/>
      <c r="GD25" s="654"/>
      <c r="GE25" s="654"/>
      <c r="GF25" s="654"/>
      <c r="GG25" s="654"/>
      <c r="GH25" s="654"/>
      <c r="GI25" s="654"/>
      <c r="GJ25" s="654"/>
      <c r="GK25" s="654"/>
      <c r="GL25" s="654"/>
      <c r="GM25" s="654"/>
      <c r="GN25" s="654"/>
      <c r="GO25" s="654"/>
      <c r="GP25" s="654"/>
      <c r="GQ25" s="654"/>
      <c r="GR25" s="654"/>
      <c r="GS25" s="654"/>
      <c r="GT25" s="654"/>
      <c r="GU25" s="654"/>
      <c r="GV25" s="654"/>
      <c r="GW25" s="654"/>
      <c r="GX25" s="654"/>
      <c r="GY25" s="654"/>
      <c r="GZ25" s="654"/>
      <c r="HA25" s="654"/>
      <c r="HB25" s="654"/>
      <c r="HC25" s="654"/>
      <c r="HD25" s="654"/>
      <c r="HE25" s="654"/>
      <c r="HF25" s="654"/>
      <c r="HG25" s="654"/>
      <c r="HH25" s="654"/>
      <c r="HI25" s="654"/>
      <c r="HJ25" s="654"/>
      <c r="HK25" s="654"/>
      <c r="HL25" s="654"/>
      <c r="HM25" s="654"/>
      <c r="HN25" s="654"/>
      <c r="HO25" s="654"/>
      <c r="HP25" s="654"/>
      <c r="HQ25" s="654"/>
      <c r="HR25" s="654"/>
      <c r="HS25" s="654"/>
      <c r="HT25" s="654"/>
      <c r="HU25" s="654"/>
      <c r="HV25" s="654"/>
      <c r="HW25" s="654"/>
      <c r="HX25" s="654"/>
      <c r="HY25" s="654"/>
      <c r="HZ25" s="654"/>
      <c r="IA25" s="654"/>
      <c r="IB25" s="654"/>
      <c r="IC25" s="654"/>
      <c r="ID25" s="654"/>
      <c r="IE25" s="654"/>
      <c r="IF25" s="654"/>
      <c r="IG25" s="654"/>
      <c r="IH25" s="654"/>
      <c r="II25" s="654"/>
      <c r="IJ25" s="654"/>
      <c r="IK25" s="654"/>
      <c r="IL25" s="654"/>
      <c r="IM25" s="654"/>
      <c r="IN25" s="654"/>
      <c r="IO25" s="654"/>
      <c r="IP25" s="654"/>
      <c r="IQ25" s="654"/>
      <c r="IR25" s="654"/>
      <c r="IS25" s="654"/>
      <c r="IT25" s="654"/>
      <c r="IU25" s="654"/>
      <c r="IV25" s="654"/>
    </row>
    <row r="26" spans="1:256" ht="17.25" customHeight="1">
      <c r="A26" s="655">
        <v>13</v>
      </c>
      <c r="B26" s="860" t="s">
        <v>295</v>
      </c>
      <c r="C26" s="861"/>
      <c r="D26" s="590">
        <v>30</v>
      </c>
      <c r="E26" s="590">
        <v>30</v>
      </c>
      <c r="F26" s="591">
        <v>30</v>
      </c>
      <c r="G26" s="590">
        <v>115</v>
      </c>
      <c r="H26" s="590">
        <v>30</v>
      </c>
      <c r="I26" s="590">
        <v>60</v>
      </c>
      <c r="J26" s="656">
        <v>30</v>
      </c>
      <c r="K26" s="590">
        <v>0</v>
      </c>
      <c r="L26" s="591">
        <v>52.5</v>
      </c>
      <c r="M26" s="590">
        <v>70</v>
      </c>
      <c r="N26" s="591">
        <v>55</v>
      </c>
      <c r="O26" s="590">
        <v>80</v>
      </c>
      <c r="P26" s="679">
        <f>SUM(D26:O26)</f>
        <v>582.5</v>
      </c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/>
      <c r="AZ26" s="654"/>
      <c r="BA26" s="654"/>
      <c r="BB26" s="654"/>
      <c r="BC26" s="654"/>
      <c r="BD26" s="654"/>
      <c r="BE26" s="654"/>
      <c r="BF26" s="654"/>
      <c r="BG26" s="654"/>
      <c r="BH26" s="654"/>
      <c r="BI26" s="654"/>
      <c r="BJ26" s="654"/>
      <c r="BK26" s="654"/>
      <c r="BL26" s="654"/>
      <c r="BM26" s="654"/>
      <c r="BN26" s="654"/>
      <c r="BO26" s="654"/>
      <c r="BP26" s="654"/>
      <c r="BQ26" s="654"/>
      <c r="BR26" s="654"/>
      <c r="BS26" s="654"/>
      <c r="BT26" s="654"/>
      <c r="BU26" s="654"/>
      <c r="BV26" s="654"/>
      <c r="BW26" s="654"/>
      <c r="BX26" s="654"/>
      <c r="BY26" s="654"/>
      <c r="BZ26" s="654"/>
      <c r="CA26" s="654"/>
      <c r="CB26" s="654"/>
      <c r="CC26" s="654"/>
      <c r="CD26" s="654"/>
      <c r="CE26" s="654"/>
      <c r="CF26" s="654"/>
      <c r="CG26" s="654"/>
      <c r="CH26" s="654"/>
      <c r="CI26" s="654"/>
      <c r="CJ26" s="654"/>
      <c r="CK26" s="654"/>
      <c r="CL26" s="654"/>
      <c r="CM26" s="654"/>
      <c r="CN26" s="654"/>
      <c r="CO26" s="654"/>
      <c r="CP26" s="654"/>
      <c r="CQ26" s="654"/>
      <c r="CR26" s="654"/>
      <c r="CS26" s="654"/>
      <c r="CT26" s="654"/>
      <c r="CU26" s="654"/>
      <c r="CV26" s="654"/>
      <c r="CW26" s="654"/>
      <c r="CX26" s="654"/>
      <c r="CY26" s="654"/>
      <c r="CZ26" s="654"/>
      <c r="DA26" s="654"/>
      <c r="DB26" s="654"/>
      <c r="DC26" s="654"/>
      <c r="DD26" s="654"/>
      <c r="DE26" s="654"/>
      <c r="DF26" s="654"/>
      <c r="DG26" s="654"/>
      <c r="DH26" s="654"/>
      <c r="DI26" s="654"/>
      <c r="DJ26" s="654"/>
      <c r="DK26" s="654"/>
      <c r="DL26" s="654"/>
      <c r="DM26" s="654"/>
      <c r="DN26" s="654"/>
      <c r="DO26" s="654"/>
      <c r="DP26" s="654"/>
      <c r="DQ26" s="654"/>
      <c r="DR26" s="654"/>
      <c r="DS26" s="654"/>
      <c r="DT26" s="654"/>
      <c r="DU26" s="654"/>
      <c r="DV26" s="654"/>
      <c r="DW26" s="654"/>
      <c r="DX26" s="654"/>
      <c r="DY26" s="654"/>
      <c r="DZ26" s="654"/>
      <c r="EA26" s="654"/>
      <c r="EB26" s="654"/>
      <c r="EC26" s="654"/>
      <c r="ED26" s="654"/>
      <c r="EE26" s="654"/>
      <c r="EF26" s="654"/>
      <c r="EG26" s="654"/>
      <c r="EH26" s="654"/>
      <c r="EI26" s="654"/>
      <c r="EJ26" s="654"/>
      <c r="EK26" s="654"/>
      <c r="EL26" s="654"/>
      <c r="EM26" s="654"/>
      <c r="EN26" s="654"/>
      <c r="EO26" s="654"/>
      <c r="EP26" s="654"/>
      <c r="EQ26" s="654"/>
      <c r="ER26" s="654"/>
      <c r="ES26" s="654"/>
      <c r="ET26" s="654"/>
      <c r="EU26" s="654"/>
      <c r="EV26" s="654"/>
      <c r="EW26" s="654"/>
      <c r="EX26" s="654"/>
      <c r="EY26" s="654"/>
      <c r="EZ26" s="654"/>
      <c r="FA26" s="654"/>
      <c r="FB26" s="654"/>
      <c r="FC26" s="654"/>
      <c r="FD26" s="654"/>
      <c r="FE26" s="654"/>
      <c r="FF26" s="654"/>
      <c r="FG26" s="654"/>
      <c r="FH26" s="654"/>
      <c r="FI26" s="654"/>
      <c r="FJ26" s="654"/>
      <c r="FK26" s="654"/>
      <c r="FL26" s="654"/>
      <c r="FM26" s="654"/>
      <c r="FN26" s="654"/>
      <c r="FO26" s="654"/>
      <c r="FP26" s="654"/>
      <c r="FQ26" s="654"/>
      <c r="FR26" s="654"/>
      <c r="FS26" s="654"/>
      <c r="FT26" s="654"/>
      <c r="FU26" s="654"/>
      <c r="FV26" s="654"/>
      <c r="FW26" s="654"/>
      <c r="FX26" s="654"/>
      <c r="FY26" s="654"/>
      <c r="FZ26" s="654"/>
      <c r="GA26" s="654"/>
      <c r="GB26" s="654"/>
      <c r="GC26" s="654"/>
      <c r="GD26" s="654"/>
      <c r="GE26" s="654"/>
      <c r="GF26" s="654"/>
      <c r="GG26" s="654"/>
      <c r="GH26" s="654"/>
      <c r="GI26" s="654"/>
      <c r="GJ26" s="654"/>
      <c r="GK26" s="654"/>
      <c r="GL26" s="654"/>
      <c r="GM26" s="654"/>
      <c r="GN26" s="654"/>
      <c r="GO26" s="654"/>
      <c r="GP26" s="654"/>
      <c r="GQ26" s="654"/>
      <c r="GR26" s="654"/>
      <c r="GS26" s="654"/>
      <c r="GT26" s="654"/>
      <c r="GU26" s="654"/>
      <c r="GV26" s="654"/>
      <c r="GW26" s="654"/>
      <c r="GX26" s="654"/>
      <c r="GY26" s="654"/>
      <c r="GZ26" s="654"/>
      <c r="HA26" s="654"/>
      <c r="HB26" s="654"/>
      <c r="HC26" s="654"/>
      <c r="HD26" s="654"/>
      <c r="HE26" s="654"/>
      <c r="HF26" s="654"/>
      <c r="HG26" s="654"/>
      <c r="HH26" s="654"/>
      <c r="HI26" s="654"/>
      <c r="HJ26" s="654"/>
      <c r="HK26" s="654"/>
      <c r="HL26" s="654"/>
      <c r="HM26" s="654"/>
      <c r="HN26" s="654"/>
      <c r="HO26" s="654"/>
      <c r="HP26" s="654"/>
      <c r="HQ26" s="654"/>
      <c r="HR26" s="654"/>
      <c r="HS26" s="654"/>
      <c r="HT26" s="654"/>
      <c r="HU26" s="654"/>
      <c r="HV26" s="654"/>
      <c r="HW26" s="654"/>
      <c r="HX26" s="654"/>
      <c r="HY26" s="654"/>
      <c r="HZ26" s="654"/>
      <c r="IA26" s="654"/>
      <c r="IB26" s="654"/>
      <c r="IC26" s="654"/>
      <c r="ID26" s="654"/>
      <c r="IE26" s="654"/>
      <c r="IF26" s="654"/>
      <c r="IG26" s="654"/>
      <c r="IH26" s="654"/>
      <c r="II26" s="654"/>
      <c r="IJ26" s="654"/>
      <c r="IK26" s="654"/>
      <c r="IL26" s="654"/>
      <c r="IM26" s="654"/>
      <c r="IN26" s="654"/>
      <c r="IO26" s="654"/>
      <c r="IP26" s="654"/>
      <c r="IQ26" s="654"/>
      <c r="IR26" s="654"/>
      <c r="IS26" s="654"/>
      <c r="IT26" s="654"/>
      <c r="IU26" s="654"/>
      <c r="IV26" s="654"/>
    </row>
    <row r="27" spans="1:256" ht="17.25" customHeight="1">
      <c r="A27" s="657">
        <v>16</v>
      </c>
      <c r="B27" s="650" t="s">
        <v>296</v>
      </c>
      <c r="C27" s="651" t="s">
        <v>305</v>
      </c>
      <c r="D27" s="581"/>
      <c r="E27" s="585"/>
      <c r="F27" s="585"/>
      <c r="G27" s="585"/>
      <c r="H27" s="585"/>
      <c r="I27" s="585"/>
      <c r="J27" s="658"/>
      <c r="K27" s="581">
        <v>59.3</v>
      </c>
      <c r="L27" s="646"/>
      <c r="M27" s="585">
        <v>-59.3</v>
      </c>
      <c r="N27" s="646"/>
      <c r="O27" s="585"/>
      <c r="P27" s="678">
        <f>SUM(D27:O27)</f>
        <v>0</v>
      </c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/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  <c r="BB27" s="641"/>
      <c r="BC27" s="641"/>
      <c r="BD27" s="641"/>
      <c r="BE27" s="641"/>
      <c r="BF27" s="641"/>
      <c r="BG27" s="641"/>
      <c r="BH27" s="641"/>
      <c r="BI27" s="641"/>
      <c r="BJ27" s="641"/>
      <c r="BK27" s="641"/>
      <c r="BL27" s="641"/>
      <c r="BM27" s="641"/>
      <c r="BN27" s="641"/>
      <c r="BO27" s="641"/>
      <c r="BP27" s="641"/>
      <c r="BQ27" s="641"/>
      <c r="BR27" s="641"/>
      <c r="BS27" s="641"/>
      <c r="BT27" s="641"/>
      <c r="BU27" s="641"/>
      <c r="BV27" s="641"/>
      <c r="BW27" s="641"/>
      <c r="BX27" s="641"/>
      <c r="BY27" s="641"/>
      <c r="BZ27" s="641"/>
      <c r="CA27" s="641"/>
      <c r="CB27" s="641"/>
      <c r="CC27" s="641"/>
      <c r="CD27" s="641"/>
      <c r="CE27" s="641"/>
      <c r="CF27" s="641"/>
      <c r="CG27" s="641"/>
      <c r="CH27" s="641"/>
      <c r="CI27" s="641"/>
      <c r="CJ27" s="641"/>
      <c r="CK27" s="641"/>
      <c r="CL27" s="641"/>
      <c r="CM27" s="641"/>
      <c r="CN27" s="641"/>
      <c r="CO27" s="641"/>
      <c r="CP27" s="641"/>
      <c r="CQ27" s="641"/>
      <c r="CR27" s="641"/>
      <c r="CS27" s="641"/>
      <c r="CT27" s="641"/>
      <c r="CU27" s="641"/>
      <c r="CV27" s="641"/>
      <c r="CW27" s="641"/>
      <c r="CX27" s="641"/>
      <c r="CY27" s="641"/>
      <c r="CZ27" s="641"/>
      <c r="DA27" s="641"/>
      <c r="DB27" s="641"/>
      <c r="DC27" s="641"/>
      <c r="DD27" s="641"/>
      <c r="DE27" s="641"/>
      <c r="DF27" s="641"/>
      <c r="DG27" s="641"/>
      <c r="DH27" s="641"/>
      <c r="DI27" s="641"/>
      <c r="DJ27" s="641"/>
      <c r="DK27" s="641"/>
      <c r="DL27" s="641"/>
      <c r="DM27" s="641"/>
      <c r="DN27" s="641"/>
      <c r="DO27" s="641"/>
      <c r="DP27" s="641"/>
      <c r="DQ27" s="641"/>
      <c r="DR27" s="641"/>
      <c r="DS27" s="641"/>
      <c r="DT27" s="641"/>
      <c r="DU27" s="641"/>
      <c r="DV27" s="641"/>
      <c r="DW27" s="641"/>
      <c r="DX27" s="641"/>
      <c r="DY27" s="641"/>
      <c r="DZ27" s="641"/>
      <c r="EA27" s="641"/>
      <c r="EB27" s="641"/>
      <c r="EC27" s="641"/>
      <c r="ED27" s="641"/>
      <c r="EE27" s="641"/>
      <c r="EF27" s="641"/>
      <c r="EG27" s="641"/>
      <c r="EH27" s="641"/>
      <c r="EI27" s="641"/>
      <c r="EJ27" s="641"/>
      <c r="EK27" s="641"/>
      <c r="EL27" s="641"/>
      <c r="EM27" s="641"/>
      <c r="EN27" s="641"/>
      <c r="EO27" s="641"/>
      <c r="EP27" s="641"/>
      <c r="EQ27" s="641"/>
      <c r="ER27" s="641"/>
      <c r="ES27" s="641"/>
      <c r="ET27" s="641"/>
      <c r="EU27" s="641"/>
      <c r="EV27" s="641"/>
      <c r="EW27" s="641"/>
      <c r="EX27" s="641"/>
      <c r="EY27" s="641"/>
      <c r="EZ27" s="641"/>
      <c r="FA27" s="641"/>
      <c r="FB27" s="641"/>
      <c r="FC27" s="641"/>
      <c r="FD27" s="641"/>
      <c r="FE27" s="641"/>
      <c r="FF27" s="641"/>
      <c r="FG27" s="641"/>
      <c r="FH27" s="641"/>
      <c r="FI27" s="641"/>
      <c r="FJ27" s="641"/>
      <c r="FK27" s="641"/>
      <c r="FL27" s="641"/>
      <c r="FM27" s="641"/>
      <c r="FN27" s="641"/>
      <c r="FO27" s="641"/>
      <c r="FP27" s="641"/>
      <c r="FQ27" s="641"/>
      <c r="FR27" s="641"/>
      <c r="FS27" s="641"/>
      <c r="FT27" s="641"/>
      <c r="FU27" s="641"/>
      <c r="FV27" s="641"/>
      <c r="FW27" s="641"/>
      <c r="FX27" s="641"/>
      <c r="FY27" s="641"/>
      <c r="FZ27" s="641"/>
      <c r="GA27" s="641"/>
      <c r="GB27" s="641"/>
      <c r="GC27" s="641"/>
      <c r="GD27" s="641"/>
      <c r="GE27" s="641"/>
      <c r="GF27" s="641"/>
      <c r="GG27" s="641"/>
      <c r="GH27" s="641"/>
      <c r="GI27" s="641"/>
      <c r="GJ27" s="641"/>
      <c r="GK27" s="641"/>
      <c r="GL27" s="641"/>
      <c r="GM27" s="641"/>
      <c r="GN27" s="641"/>
      <c r="GO27" s="641"/>
      <c r="GP27" s="641"/>
      <c r="GQ27" s="641"/>
      <c r="GR27" s="641"/>
      <c r="GS27" s="641"/>
      <c r="GT27" s="641"/>
      <c r="GU27" s="641"/>
      <c r="GV27" s="641"/>
      <c r="GW27" s="641"/>
      <c r="GX27" s="641"/>
      <c r="GY27" s="641"/>
      <c r="GZ27" s="641"/>
      <c r="HA27" s="641"/>
      <c r="HB27" s="641"/>
      <c r="HC27" s="641"/>
      <c r="HD27" s="641"/>
      <c r="HE27" s="641"/>
      <c r="HF27" s="641"/>
      <c r="HG27" s="641"/>
      <c r="HH27" s="641"/>
      <c r="HI27" s="641"/>
      <c r="HJ27" s="641"/>
      <c r="HK27" s="641"/>
      <c r="HL27" s="641"/>
      <c r="HM27" s="641"/>
      <c r="HN27" s="641"/>
      <c r="HO27" s="641"/>
      <c r="HP27" s="641"/>
      <c r="HQ27" s="641"/>
      <c r="HR27" s="641"/>
      <c r="HS27" s="641"/>
      <c r="HT27" s="641"/>
      <c r="HU27" s="641"/>
      <c r="HV27" s="641"/>
      <c r="HW27" s="641"/>
      <c r="HX27" s="641"/>
      <c r="HY27" s="641"/>
      <c r="HZ27" s="641"/>
      <c r="IA27" s="641"/>
      <c r="IB27" s="641"/>
      <c r="IC27" s="641"/>
      <c r="ID27" s="641"/>
      <c r="IE27" s="641"/>
      <c r="IF27" s="641"/>
      <c r="IG27" s="641"/>
      <c r="IH27" s="641"/>
      <c r="II27" s="641"/>
      <c r="IJ27" s="641"/>
      <c r="IK27" s="641"/>
      <c r="IL27" s="641"/>
      <c r="IM27" s="641"/>
      <c r="IN27" s="641"/>
      <c r="IO27" s="641"/>
      <c r="IP27" s="641"/>
      <c r="IQ27" s="641"/>
      <c r="IR27" s="641"/>
      <c r="IS27" s="641"/>
      <c r="IT27" s="641"/>
      <c r="IU27" s="641"/>
      <c r="IV27" s="641"/>
    </row>
    <row r="28" spans="1:256" ht="17.25" customHeight="1">
      <c r="A28" s="657">
        <v>17</v>
      </c>
      <c r="B28" s="650" t="s">
        <v>297</v>
      </c>
      <c r="C28" s="651"/>
      <c r="D28" s="581">
        <v>20</v>
      </c>
      <c r="E28" s="584">
        <v>20</v>
      </c>
      <c r="F28" s="584">
        <v>20</v>
      </c>
      <c r="G28" s="584">
        <v>20</v>
      </c>
      <c r="H28" s="584">
        <f>25+5</f>
        <v>30</v>
      </c>
      <c r="I28" s="584">
        <v>25</v>
      </c>
      <c r="J28" s="368">
        <v>25</v>
      </c>
      <c r="K28" s="581">
        <v>25</v>
      </c>
      <c r="L28" s="583">
        <v>20</v>
      </c>
      <c r="M28" s="584">
        <v>30</v>
      </c>
      <c r="N28" s="583">
        <v>20</v>
      </c>
      <c r="O28" s="584">
        <v>20</v>
      </c>
      <c r="P28" s="678">
        <f>SUM(D28:O28)</f>
        <v>275</v>
      </c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  <c r="AZ28" s="641"/>
      <c r="BA28" s="641"/>
      <c r="BB28" s="641"/>
      <c r="BC28" s="641"/>
      <c r="BD28" s="641"/>
      <c r="BE28" s="641"/>
      <c r="BF28" s="641"/>
      <c r="BG28" s="641"/>
      <c r="BH28" s="641"/>
      <c r="BI28" s="641"/>
      <c r="BJ28" s="641"/>
      <c r="BK28" s="641"/>
      <c r="BL28" s="641"/>
      <c r="BM28" s="641"/>
      <c r="BN28" s="641"/>
      <c r="BO28" s="641"/>
      <c r="BP28" s="641"/>
      <c r="BQ28" s="641"/>
      <c r="BR28" s="641"/>
      <c r="BS28" s="641"/>
      <c r="BT28" s="641"/>
      <c r="BU28" s="641"/>
      <c r="BV28" s="641"/>
      <c r="BW28" s="641"/>
      <c r="BX28" s="641"/>
      <c r="BY28" s="641"/>
      <c r="BZ28" s="641"/>
      <c r="CA28" s="641"/>
      <c r="CB28" s="641"/>
      <c r="CC28" s="641"/>
      <c r="CD28" s="641"/>
      <c r="CE28" s="641"/>
      <c r="CF28" s="641"/>
      <c r="CG28" s="641"/>
      <c r="CH28" s="641"/>
      <c r="CI28" s="641"/>
      <c r="CJ28" s="641"/>
      <c r="CK28" s="641"/>
      <c r="CL28" s="641"/>
      <c r="CM28" s="641"/>
      <c r="CN28" s="641"/>
      <c r="CO28" s="641"/>
      <c r="CP28" s="641"/>
      <c r="CQ28" s="641"/>
      <c r="CR28" s="641"/>
      <c r="CS28" s="641"/>
      <c r="CT28" s="641"/>
      <c r="CU28" s="641"/>
      <c r="CV28" s="641"/>
      <c r="CW28" s="641"/>
      <c r="CX28" s="641"/>
      <c r="CY28" s="641"/>
      <c r="CZ28" s="641"/>
      <c r="DA28" s="641"/>
      <c r="DB28" s="641"/>
      <c r="DC28" s="641"/>
      <c r="DD28" s="641"/>
      <c r="DE28" s="641"/>
      <c r="DF28" s="641"/>
      <c r="DG28" s="641"/>
      <c r="DH28" s="641"/>
      <c r="DI28" s="641"/>
      <c r="DJ28" s="641"/>
      <c r="DK28" s="641"/>
      <c r="DL28" s="641"/>
      <c r="DM28" s="641"/>
      <c r="DN28" s="641"/>
      <c r="DO28" s="641"/>
      <c r="DP28" s="641"/>
      <c r="DQ28" s="641"/>
      <c r="DR28" s="641"/>
      <c r="DS28" s="641"/>
      <c r="DT28" s="641"/>
      <c r="DU28" s="641"/>
      <c r="DV28" s="641"/>
      <c r="DW28" s="641"/>
      <c r="DX28" s="641"/>
      <c r="DY28" s="641"/>
      <c r="DZ28" s="641"/>
      <c r="EA28" s="641"/>
      <c r="EB28" s="641"/>
      <c r="EC28" s="641"/>
      <c r="ED28" s="641"/>
      <c r="EE28" s="641"/>
      <c r="EF28" s="641"/>
      <c r="EG28" s="641"/>
      <c r="EH28" s="641"/>
      <c r="EI28" s="641"/>
      <c r="EJ28" s="641"/>
      <c r="EK28" s="641"/>
      <c r="EL28" s="641"/>
      <c r="EM28" s="641"/>
      <c r="EN28" s="641"/>
      <c r="EO28" s="641"/>
      <c r="EP28" s="641"/>
      <c r="EQ28" s="641"/>
      <c r="ER28" s="641"/>
      <c r="ES28" s="641"/>
      <c r="ET28" s="641"/>
      <c r="EU28" s="641"/>
      <c r="EV28" s="641"/>
      <c r="EW28" s="641"/>
      <c r="EX28" s="641"/>
      <c r="EY28" s="641"/>
      <c r="EZ28" s="641"/>
      <c r="FA28" s="641"/>
      <c r="FB28" s="641"/>
      <c r="FC28" s="641"/>
      <c r="FD28" s="641"/>
      <c r="FE28" s="641"/>
      <c r="FF28" s="641"/>
      <c r="FG28" s="641"/>
      <c r="FH28" s="641"/>
      <c r="FI28" s="641"/>
      <c r="FJ28" s="641"/>
      <c r="FK28" s="641"/>
      <c r="FL28" s="641"/>
      <c r="FM28" s="641"/>
      <c r="FN28" s="641"/>
      <c r="FO28" s="641"/>
      <c r="FP28" s="641"/>
      <c r="FQ28" s="641"/>
      <c r="FR28" s="641"/>
      <c r="FS28" s="641"/>
      <c r="FT28" s="641"/>
      <c r="FU28" s="641"/>
      <c r="FV28" s="641"/>
      <c r="FW28" s="641"/>
      <c r="FX28" s="641"/>
      <c r="FY28" s="641"/>
      <c r="FZ28" s="641"/>
      <c r="GA28" s="641"/>
      <c r="GB28" s="641"/>
      <c r="GC28" s="641"/>
      <c r="GD28" s="641"/>
      <c r="GE28" s="641"/>
      <c r="GF28" s="641"/>
      <c r="GG28" s="641"/>
      <c r="GH28" s="641"/>
      <c r="GI28" s="641"/>
      <c r="GJ28" s="641"/>
      <c r="GK28" s="641"/>
      <c r="GL28" s="641"/>
      <c r="GM28" s="641"/>
      <c r="GN28" s="641"/>
      <c r="GO28" s="641"/>
      <c r="GP28" s="641"/>
      <c r="GQ28" s="641"/>
      <c r="GR28" s="641"/>
      <c r="GS28" s="641"/>
      <c r="GT28" s="641"/>
      <c r="GU28" s="641"/>
      <c r="GV28" s="641"/>
      <c r="GW28" s="641"/>
      <c r="GX28" s="641"/>
      <c r="GY28" s="641"/>
      <c r="GZ28" s="641"/>
      <c r="HA28" s="641"/>
      <c r="HB28" s="641"/>
      <c r="HC28" s="641"/>
      <c r="HD28" s="641"/>
      <c r="HE28" s="641"/>
      <c r="HF28" s="641"/>
      <c r="HG28" s="641"/>
      <c r="HH28" s="641"/>
      <c r="HI28" s="641"/>
      <c r="HJ28" s="641"/>
      <c r="HK28" s="641"/>
      <c r="HL28" s="641"/>
      <c r="HM28" s="641"/>
      <c r="HN28" s="641"/>
      <c r="HO28" s="641"/>
      <c r="HP28" s="641"/>
      <c r="HQ28" s="641"/>
      <c r="HR28" s="641"/>
      <c r="HS28" s="641"/>
      <c r="HT28" s="641"/>
      <c r="HU28" s="641"/>
      <c r="HV28" s="641"/>
      <c r="HW28" s="641"/>
      <c r="HX28" s="641"/>
      <c r="HY28" s="641"/>
      <c r="HZ28" s="641"/>
      <c r="IA28" s="641"/>
      <c r="IB28" s="641"/>
      <c r="IC28" s="641"/>
      <c r="ID28" s="641"/>
      <c r="IE28" s="641"/>
      <c r="IF28" s="641"/>
      <c r="IG28" s="641"/>
      <c r="IH28" s="641"/>
      <c r="II28" s="641"/>
      <c r="IJ28" s="641"/>
      <c r="IK28" s="641"/>
      <c r="IL28" s="641"/>
      <c r="IM28" s="641"/>
      <c r="IN28" s="641"/>
      <c r="IO28" s="641"/>
      <c r="IP28" s="641"/>
      <c r="IQ28" s="641"/>
      <c r="IR28" s="641"/>
      <c r="IS28" s="641"/>
      <c r="IT28" s="641"/>
      <c r="IU28" s="641"/>
      <c r="IV28" s="641"/>
    </row>
    <row r="29" spans="1:256" ht="17.25" customHeight="1" thickBot="1">
      <c r="A29" s="642">
        <v>21</v>
      </c>
      <c r="B29" s="659" t="s">
        <v>298</v>
      </c>
      <c r="C29" s="660"/>
      <c r="D29" s="584"/>
      <c r="E29" s="584"/>
      <c r="F29" s="583"/>
      <c r="G29" s="584">
        <v>148.6</v>
      </c>
      <c r="H29" s="584">
        <f>372.4+83.4</f>
        <v>455.79999999999995</v>
      </c>
      <c r="I29" s="584">
        <v>383.5</v>
      </c>
      <c r="J29" s="368">
        <v>829.5</v>
      </c>
      <c r="K29" s="581">
        <f>396.3</f>
        <v>396.3</v>
      </c>
      <c r="L29" s="582">
        <f>531.4</f>
        <v>531.4</v>
      </c>
      <c r="M29" s="581">
        <f>50.2+3.52+22+76.351+67.4+78+59.3</f>
        <v>356.771</v>
      </c>
      <c r="N29" s="581">
        <v>119.1</v>
      </c>
      <c r="O29" s="581">
        <v>0</v>
      </c>
      <c r="P29" s="678">
        <f>SUM(D29:O29)</f>
        <v>3220.9710000000005</v>
      </c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641"/>
      <c r="AG29" s="641"/>
      <c r="AH29" s="641"/>
      <c r="AI29" s="641"/>
      <c r="AJ29" s="641"/>
      <c r="AK29" s="641"/>
      <c r="AL29" s="641"/>
      <c r="AM29" s="641"/>
      <c r="AN29" s="641"/>
      <c r="AO29" s="641"/>
      <c r="AP29" s="641"/>
      <c r="AQ29" s="641"/>
      <c r="AR29" s="641"/>
      <c r="AS29" s="641"/>
      <c r="AT29" s="641"/>
      <c r="AU29" s="641"/>
      <c r="AV29" s="641"/>
      <c r="AW29" s="641"/>
      <c r="AX29" s="641"/>
      <c r="AY29" s="641"/>
      <c r="AZ29" s="641"/>
      <c r="BA29" s="641"/>
      <c r="BB29" s="641"/>
      <c r="BC29" s="641"/>
      <c r="BD29" s="641"/>
      <c r="BE29" s="641"/>
      <c r="BF29" s="641"/>
      <c r="BG29" s="641"/>
      <c r="BH29" s="641"/>
      <c r="BI29" s="641"/>
      <c r="BJ29" s="641"/>
      <c r="BK29" s="641"/>
      <c r="BL29" s="641"/>
      <c r="BM29" s="641"/>
      <c r="BN29" s="641"/>
      <c r="BO29" s="641"/>
      <c r="BP29" s="641"/>
      <c r="BQ29" s="641"/>
      <c r="BR29" s="641"/>
      <c r="BS29" s="641"/>
      <c r="BT29" s="641"/>
      <c r="BU29" s="641"/>
      <c r="BV29" s="641"/>
      <c r="BW29" s="641"/>
      <c r="BX29" s="641"/>
      <c r="BY29" s="641"/>
      <c r="BZ29" s="641"/>
      <c r="CA29" s="641"/>
      <c r="CB29" s="641"/>
      <c r="CC29" s="641"/>
      <c r="CD29" s="641"/>
      <c r="CE29" s="641"/>
      <c r="CF29" s="641"/>
      <c r="CG29" s="641"/>
      <c r="CH29" s="641"/>
      <c r="CI29" s="641"/>
      <c r="CJ29" s="641"/>
      <c r="CK29" s="641"/>
      <c r="CL29" s="641"/>
      <c r="CM29" s="641"/>
      <c r="CN29" s="641"/>
      <c r="CO29" s="641"/>
      <c r="CP29" s="641"/>
      <c r="CQ29" s="641"/>
      <c r="CR29" s="641"/>
      <c r="CS29" s="641"/>
      <c r="CT29" s="641"/>
      <c r="CU29" s="641"/>
      <c r="CV29" s="641"/>
      <c r="CW29" s="641"/>
      <c r="CX29" s="641"/>
      <c r="CY29" s="641"/>
      <c r="CZ29" s="641"/>
      <c r="DA29" s="641"/>
      <c r="DB29" s="641"/>
      <c r="DC29" s="641"/>
      <c r="DD29" s="641"/>
      <c r="DE29" s="641"/>
      <c r="DF29" s="641"/>
      <c r="DG29" s="641"/>
      <c r="DH29" s="641"/>
      <c r="DI29" s="641"/>
      <c r="DJ29" s="641"/>
      <c r="DK29" s="641"/>
      <c r="DL29" s="641"/>
      <c r="DM29" s="641"/>
      <c r="DN29" s="641"/>
      <c r="DO29" s="641"/>
      <c r="DP29" s="641"/>
      <c r="DQ29" s="641"/>
      <c r="DR29" s="641"/>
      <c r="DS29" s="641"/>
      <c r="DT29" s="641"/>
      <c r="DU29" s="641"/>
      <c r="DV29" s="641"/>
      <c r="DW29" s="641"/>
      <c r="DX29" s="641"/>
      <c r="DY29" s="641"/>
      <c r="DZ29" s="641"/>
      <c r="EA29" s="641"/>
      <c r="EB29" s="641"/>
      <c r="EC29" s="641"/>
      <c r="ED29" s="641"/>
      <c r="EE29" s="641"/>
      <c r="EF29" s="641"/>
      <c r="EG29" s="641"/>
      <c r="EH29" s="641"/>
      <c r="EI29" s="641"/>
      <c r="EJ29" s="641"/>
      <c r="EK29" s="641"/>
      <c r="EL29" s="641"/>
      <c r="EM29" s="641"/>
      <c r="EN29" s="641"/>
      <c r="EO29" s="641"/>
      <c r="EP29" s="641"/>
      <c r="EQ29" s="641"/>
      <c r="ER29" s="641"/>
      <c r="ES29" s="641"/>
      <c r="ET29" s="641"/>
      <c r="EU29" s="641"/>
      <c r="EV29" s="641"/>
      <c r="EW29" s="641"/>
      <c r="EX29" s="641"/>
      <c r="EY29" s="641"/>
      <c r="EZ29" s="641"/>
      <c r="FA29" s="641"/>
      <c r="FB29" s="641"/>
      <c r="FC29" s="641"/>
      <c r="FD29" s="641"/>
      <c r="FE29" s="641"/>
      <c r="FF29" s="641"/>
      <c r="FG29" s="641"/>
      <c r="FH29" s="641"/>
      <c r="FI29" s="641"/>
      <c r="FJ29" s="641"/>
      <c r="FK29" s="641"/>
      <c r="FL29" s="641"/>
      <c r="FM29" s="641"/>
      <c r="FN29" s="641"/>
      <c r="FO29" s="641"/>
      <c r="FP29" s="641"/>
      <c r="FQ29" s="641"/>
      <c r="FR29" s="641"/>
      <c r="FS29" s="641"/>
      <c r="FT29" s="641"/>
      <c r="FU29" s="641"/>
      <c r="FV29" s="641"/>
      <c r="FW29" s="641"/>
      <c r="FX29" s="641"/>
      <c r="FY29" s="641"/>
      <c r="FZ29" s="641"/>
      <c r="GA29" s="641"/>
      <c r="GB29" s="641"/>
      <c r="GC29" s="641"/>
      <c r="GD29" s="641"/>
      <c r="GE29" s="641"/>
      <c r="GF29" s="641"/>
      <c r="GG29" s="641"/>
      <c r="GH29" s="641"/>
      <c r="GI29" s="641"/>
      <c r="GJ29" s="641"/>
      <c r="GK29" s="641"/>
      <c r="GL29" s="641"/>
      <c r="GM29" s="641"/>
      <c r="GN29" s="641"/>
      <c r="GO29" s="641"/>
      <c r="GP29" s="641"/>
      <c r="GQ29" s="641"/>
      <c r="GR29" s="641"/>
      <c r="GS29" s="641"/>
      <c r="GT29" s="641"/>
      <c r="GU29" s="641"/>
      <c r="GV29" s="641"/>
      <c r="GW29" s="641"/>
      <c r="GX29" s="641"/>
      <c r="GY29" s="641"/>
      <c r="GZ29" s="641"/>
      <c r="HA29" s="641"/>
      <c r="HB29" s="641"/>
      <c r="HC29" s="641"/>
      <c r="HD29" s="641"/>
      <c r="HE29" s="641"/>
      <c r="HF29" s="641"/>
      <c r="HG29" s="641"/>
      <c r="HH29" s="641"/>
      <c r="HI29" s="641"/>
      <c r="HJ29" s="641"/>
      <c r="HK29" s="641"/>
      <c r="HL29" s="641"/>
      <c r="HM29" s="641"/>
      <c r="HN29" s="641"/>
      <c r="HO29" s="641"/>
      <c r="HP29" s="641"/>
      <c r="HQ29" s="641"/>
      <c r="HR29" s="641"/>
      <c r="HS29" s="641"/>
      <c r="HT29" s="641"/>
      <c r="HU29" s="641"/>
      <c r="HV29" s="641"/>
      <c r="HW29" s="641"/>
      <c r="HX29" s="641"/>
      <c r="HY29" s="641"/>
      <c r="HZ29" s="641"/>
      <c r="IA29" s="641"/>
      <c r="IB29" s="641"/>
      <c r="IC29" s="641"/>
      <c r="ID29" s="641"/>
      <c r="IE29" s="641"/>
      <c r="IF29" s="641"/>
      <c r="IG29" s="641"/>
      <c r="IH29" s="641"/>
      <c r="II29" s="641"/>
      <c r="IJ29" s="641"/>
      <c r="IK29" s="641"/>
      <c r="IL29" s="641"/>
      <c r="IM29" s="641"/>
      <c r="IN29" s="641"/>
      <c r="IO29" s="641"/>
      <c r="IP29" s="641"/>
      <c r="IQ29" s="641"/>
      <c r="IR29" s="641"/>
      <c r="IS29" s="641"/>
      <c r="IT29" s="641"/>
      <c r="IU29" s="641"/>
      <c r="IV29" s="641"/>
    </row>
    <row r="30" spans="1:256" ht="15.75" thickBot="1">
      <c r="A30" s="669"/>
      <c r="B30" s="858" t="s">
        <v>20</v>
      </c>
      <c r="C30" s="859"/>
      <c r="D30" s="670">
        <f>D26+D27+D28+D29</f>
        <v>50</v>
      </c>
      <c r="E30" s="670">
        <f aca="true" t="shared" si="5" ref="E30:P30">E26+E27+E28+E29</f>
        <v>50</v>
      </c>
      <c r="F30" s="670">
        <f t="shared" si="5"/>
        <v>50</v>
      </c>
      <c r="G30" s="670">
        <f t="shared" si="5"/>
        <v>283.6</v>
      </c>
      <c r="H30" s="670">
        <f t="shared" si="5"/>
        <v>515.8</v>
      </c>
      <c r="I30" s="670">
        <f t="shared" si="5"/>
        <v>468.5</v>
      </c>
      <c r="J30" s="670">
        <f t="shared" si="5"/>
        <v>884.5</v>
      </c>
      <c r="K30" s="670">
        <f t="shared" si="5"/>
        <v>480.6</v>
      </c>
      <c r="L30" s="670">
        <f t="shared" si="5"/>
        <v>603.9</v>
      </c>
      <c r="M30" s="670">
        <f t="shared" si="5"/>
        <v>397.471</v>
      </c>
      <c r="N30" s="670">
        <f t="shared" si="5"/>
        <v>194.1</v>
      </c>
      <c r="O30" s="670">
        <f t="shared" si="5"/>
        <v>100</v>
      </c>
      <c r="P30" s="592">
        <f t="shared" si="5"/>
        <v>4078.4710000000005</v>
      </c>
      <c r="Q30" s="641"/>
      <c r="R30" s="641"/>
      <c r="S30" s="641"/>
      <c r="T30" s="641"/>
      <c r="U30" s="641"/>
      <c r="V30" s="641"/>
      <c r="W30" s="641"/>
      <c r="X30" s="641"/>
      <c r="Y30" s="641"/>
      <c r="Z30" s="641"/>
      <c r="AA30" s="641"/>
      <c r="AB30" s="641"/>
      <c r="AC30" s="641"/>
      <c r="AD30" s="641"/>
      <c r="AE30" s="641"/>
      <c r="AF30" s="641"/>
      <c r="AG30" s="641"/>
      <c r="AH30" s="641"/>
      <c r="AI30" s="641"/>
      <c r="AJ30" s="641"/>
      <c r="AK30" s="641"/>
      <c r="AL30" s="641"/>
      <c r="AM30" s="641"/>
      <c r="AN30" s="641"/>
      <c r="AO30" s="641"/>
      <c r="AP30" s="641"/>
      <c r="AQ30" s="641"/>
      <c r="AR30" s="641"/>
      <c r="AS30" s="641"/>
      <c r="AT30" s="641"/>
      <c r="AU30" s="641"/>
      <c r="AV30" s="641"/>
      <c r="AW30" s="641"/>
      <c r="AX30" s="641"/>
      <c r="AY30" s="641"/>
      <c r="AZ30" s="641"/>
      <c r="BA30" s="641"/>
      <c r="BB30" s="641"/>
      <c r="BC30" s="641"/>
      <c r="BD30" s="641"/>
      <c r="BE30" s="641"/>
      <c r="BF30" s="641"/>
      <c r="BG30" s="641"/>
      <c r="BH30" s="641"/>
      <c r="BI30" s="641"/>
      <c r="BJ30" s="641"/>
      <c r="BK30" s="641"/>
      <c r="BL30" s="641"/>
      <c r="BM30" s="641"/>
      <c r="BN30" s="641"/>
      <c r="BO30" s="641"/>
      <c r="BP30" s="641"/>
      <c r="BQ30" s="641"/>
      <c r="BR30" s="641"/>
      <c r="BS30" s="641"/>
      <c r="BT30" s="641"/>
      <c r="BU30" s="641"/>
      <c r="BV30" s="641"/>
      <c r="BW30" s="641"/>
      <c r="BX30" s="641"/>
      <c r="BY30" s="641"/>
      <c r="BZ30" s="641"/>
      <c r="CA30" s="641"/>
      <c r="CB30" s="641"/>
      <c r="CC30" s="641"/>
      <c r="CD30" s="641"/>
      <c r="CE30" s="641"/>
      <c r="CF30" s="641"/>
      <c r="CG30" s="641"/>
      <c r="CH30" s="641"/>
      <c r="CI30" s="641"/>
      <c r="CJ30" s="641"/>
      <c r="CK30" s="641"/>
      <c r="CL30" s="641"/>
      <c r="CM30" s="641"/>
      <c r="CN30" s="641"/>
      <c r="CO30" s="641"/>
      <c r="CP30" s="641"/>
      <c r="CQ30" s="641"/>
      <c r="CR30" s="641"/>
      <c r="CS30" s="641"/>
      <c r="CT30" s="641"/>
      <c r="CU30" s="641"/>
      <c r="CV30" s="641"/>
      <c r="CW30" s="641"/>
      <c r="CX30" s="641"/>
      <c r="CY30" s="641"/>
      <c r="CZ30" s="641"/>
      <c r="DA30" s="641"/>
      <c r="DB30" s="641"/>
      <c r="DC30" s="641"/>
      <c r="DD30" s="641"/>
      <c r="DE30" s="641"/>
      <c r="DF30" s="641"/>
      <c r="DG30" s="641"/>
      <c r="DH30" s="641"/>
      <c r="DI30" s="641"/>
      <c r="DJ30" s="641"/>
      <c r="DK30" s="641"/>
      <c r="DL30" s="641"/>
      <c r="DM30" s="641"/>
      <c r="DN30" s="641"/>
      <c r="DO30" s="641"/>
      <c r="DP30" s="641"/>
      <c r="DQ30" s="641"/>
      <c r="DR30" s="641"/>
      <c r="DS30" s="641"/>
      <c r="DT30" s="641"/>
      <c r="DU30" s="641"/>
      <c r="DV30" s="641"/>
      <c r="DW30" s="641"/>
      <c r="DX30" s="641"/>
      <c r="DY30" s="641"/>
      <c r="DZ30" s="641"/>
      <c r="EA30" s="641"/>
      <c r="EB30" s="641"/>
      <c r="EC30" s="641"/>
      <c r="ED30" s="641"/>
      <c r="EE30" s="641"/>
      <c r="EF30" s="641"/>
      <c r="EG30" s="641"/>
      <c r="EH30" s="641"/>
      <c r="EI30" s="641"/>
      <c r="EJ30" s="641"/>
      <c r="EK30" s="641"/>
      <c r="EL30" s="641"/>
      <c r="EM30" s="641"/>
      <c r="EN30" s="641"/>
      <c r="EO30" s="641"/>
      <c r="EP30" s="641"/>
      <c r="EQ30" s="641"/>
      <c r="ER30" s="641"/>
      <c r="ES30" s="641"/>
      <c r="ET30" s="641"/>
      <c r="EU30" s="641"/>
      <c r="EV30" s="641"/>
      <c r="EW30" s="641"/>
      <c r="EX30" s="641"/>
      <c r="EY30" s="641"/>
      <c r="EZ30" s="641"/>
      <c r="FA30" s="641"/>
      <c r="FB30" s="641"/>
      <c r="FC30" s="641"/>
      <c r="FD30" s="641"/>
      <c r="FE30" s="641"/>
      <c r="FF30" s="641"/>
      <c r="FG30" s="641"/>
      <c r="FH30" s="641"/>
      <c r="FI30" s="641"/>
      <c r="FJ30" s="641"/>
      <c r="FK30" s="641"/>
      <c r="FL30" s="641"/>
      <c r="FM30" s="641"/>
      <c r="FN30" s="641"/>
      <c r="FO30" s="641"/>
      <c r="FP30" s="641"/>
      <c r="FQ30" s="641"/>
      <c r="FR30" s="641"/>
      <c r="FS30" s="641"/>
      <c r="FT30" s="641"/>
      <c r="FU30" s="641"/>
      <c r="FV30" s="641"/>
      <c r="FW30" s="641"/>
      <c r="FX30" s="641"/>
      <c r="FY30" s="641"/>
      <c r="FZ30" s="641"/>
      <c r="GA30" s="641"/>
      <c r="GB30" s="641"/>
      <c r="GC30" s="641"/>
      <c r="GD30" s="641"/>
      <c r="GE30" s="641"/>
      <c r="GF30" s="641"/>
      <c r="GG30" s="641"/>
      <c r="GH30" s="641"/>
      <c r="GI30" s="641"/>
      <c r="GJ30" s="641"/>
      <c r="GK30" s="641"/>
      <c r="GL30" s="641"/>
      <c r="GM30" s="641"/>
      <c r="GN30" s="641"/>
      <c r="GO30" s="641"/>
      <c r="GP30" s="641"/>
      <c r="GQ30" s="641"/>
      <c r="GR30" s="641"/>
      <c r="GS30" s="641"/>
      <c r="GT30" s="641"/>
      <c r="GU30" s="641"/>
      <c r="GV30" s="641"/>
      <c r="GW30" s="641"/>
      <c r="GX30" s="641"/>
      <c r="GY30" s="641"/>
      <c r="GZ30" s="641"/>
      <c r="HA30" s="641"/>
      <c r="HB30" s="641"/>
      <c r="HC30" s="641"/>
      <c r="HD30" s="641"/>
      <c r="HE30" s="641"/>
      <c r="HF30" s="641"/>
      <c r="HG30" s="641"/>
      <c r="HH30" s="641"/>
      <c r="HI30" s="641"/>
      <c r="HJ30" s="641"/>
      <c r="HK30" s="641"/>
      <c r="HL30" s="641"/>
      <c r="HM30" s="641"/>
      <c r="HN30" s="641"/>
      <c r="HO30" s="641"/>
      <c r="HP30" s="641"/>
      <c r="HQ30" s="641"/>
      <c r="HR30" s="641"/>
      <c r="HS30" s="641"/>
      <c r="HT30" s="641"/>
      <c r="HU30" s="641"/>
      <c r="HV30" s="641"/>
      <c r="HW30" s="641"/>
      <c r="HX30" s="641"/>
      <c r="HY30" s="641"/>
      <c r="HZ30" s="641"/>
      <c r="IA30" s="641"/>
      <c r="IB30" s="641"/>
      <c r="IC30" s="641"/>
      <c r="ID30" s="641"/>
      <c r="IE30" s="641"/>
      <c r="IF30" s="641"/>
      <c r="IG30" s="641"/>
      <c r="IH30" s="641"/>
      <c r="II30" s="641"/>
      <c r="IJ30" s="641"/>
      <c r="IK30" s="641"/>
      <c r="IL30" s="641"/>
      <c r="IM30" s="641"/>
      <c r="IN30" s="641"/>
      <c r="IO30" s="641"/>
      <c r="IP30" s="641"/>
      <c r="IQ30" s="641"/>
      <c r="IR30" s="641"/>
      <c r="IS30" s="641"/>
      <c r="IT30" s="641"/>
      <c r="IU30" s="641"/>
      <c r="IV30" s="641"/>
    </row>
    <row r="31" spans="1:256" ht="15" thickBot="1">
      <c r="A31" s="671"/>
      <c r="B31" s="862" t="s">
        <v>299</v>
      </c>
      <c r="C31" s="863"/>
      <c r="D31" s="664">
        <f>D18+D21+D25+D30</f>
        <v>2741.7</v>
      </c>
      <c r="E31" s="664">
        <f aca="true" t="shared" si="6" ref="E31:P31">E18+E21+E25+E30</f>
        <v>2737.8</v>
      </c>
      <c r="F31" s="664">
        <f t="shared" si="6"/>
        <v>2733.8</v>
      </c>
      <c r="G31" s="664">
        <f t="shared" si="6"/>
        <v>10553.9</v>
      </c>
      <c r="H31" s="664">
        <f t="shared" si="6"/>
        <v>10496</v>
      </c>
      <c r="I31" s="664">
        <f t="shared" si="6"/>
        <v>8519.5</v>
      </c>
      <c r="J31" s="664">
        <f t="shared" si="6"/>
        <v>8198.5</v>
      </c>
      <c r="K31" s="664">
        <f t="shared" si="6"/>
        <v>7739.6</v>
      </c>
      <c r="L31" s="664">
        <f t="shared" si="6"/>
        <v>10863.4</v>
      </c>
      <c r="M31" s="664">
        <f t="shared" si="6"/>
        <v>10883.270999999999</v>
      </c>
      <c r="N31" s="664">
        <f t="shared" si="6"/>
        <v>10485.1</v>
      </c>
      <c r="O31" s="664">
        <f t="shared" si="6"/>
        <v>10345.7</v>
      </c>
      <c r="P31" s="588">
        <f t="shared" si="6"/>
        <v>96298.27100000001</v>
      </c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  <c r="BO31" s="593"/>
      <c r="BP31" s="593"/>
      <c r="BQ31" s="593"/>
      <c r="BR31" s="593"/>
      <c r="BS31" s="593"/>
      <c r="BT31" s="593"/>
      <c r="BU31" s="593"/>
      <c r="BV31" s="593"/>
      <c r="BW31" s="593"/>
      <c r="BX31" s="593"/>
      <c r="BY31" s="593"/>
      <c r="BZ31" s="593"/>
      <c r="CA31" s="593"/>
      <c r="CB31" s="593"/>
      <c r="CC31" s="593"/>
      <c r="CD31" s="593"/>
      <c r="CE31" s="593"/>
      <c r="CF31" s="593"/>
      <c r="CG31" s="593"/>
      <c r="CH31" s="593"/>
      <c r="CI31" s="593"/>
      <c r="CJ31" s="593"/>
      <c r="CK31" s="593"/>
      <c r="CL31" s="593"/>
      <c r="CM31" s="593"/>
      <c r="CN31" s="593"/>
      <c r="CO31" s="593"/>
      <c r="CP31" s="593"/>
      <c r="CQ31" s="593"/>
      <c r="CR31" s="593"/>
      <c r="CS31" s="593"/>
      <c r="CT31" s="593"/>
      <c r="CU31" s="593"/>
      <c r="CV31" s="593"/>
      <c r="CW31" s="593"/>
      <c r="CX31" s="593"/>
      <c r="CY31" s="593"/>
      <c r="CZ31" s="593"/>
      <c r="DA31" s="593"/>
      <c r="DB31" s="593"/>
      <c r="DC31" s="593"/>
      <c r="DD31" s="593"/>
      <c r="DE31" s="593"/>
      <c r="DF31" s="593"/>
      <c r="DG31" s="593"/>
      <c r="DH31" s="593"/>
      <c r="DI31" s="593"/>
      <c r="DJ31" s="593"/>
      <c r="DK31" s="593"/>
      <c r="DL31" s="593"/>
      <c r="DM31" s="593"/>
      <c r="DN31" s="593"/>
      <c r="DO31" s="593"/>
      <c r="DP31" s="593"/>
      <c r="DQ31" s="593"/>
      <c r="DR31" s="593"/>
      <c r="DS31" s="593"/>
      <c r="DT31" s="593"/>
      <c r="DU31" s="593"/>
      <c r="DV31" s="593"/>
      <c r="DW31" s="593"/>
      <c r="DX31" s="593"/>
      <c r="DY31" s="593"/>
      <c r="DZ31" s="593"/>
      <c r="EA31" s="593"/>
      <c r="EB31" s="593"/>
      <c r="EC31" s="593"/>
      <c r="ED31" s="593"/>
      <c r="EE31" s="593"/>
      <c r="EF31" s="593"/>
      <c r="EG31" s="593"/>
      <c r="EH31" s="593"/>
      <c r="EI31" s="593"/>
      <c r="EJ31" s="593"/>
      <c r="EK31" s="593"/>
      <c r="EL31" s="593"/>
      <c r="EM31" s="593"/>
      <c r="EN31" s="593"/>
      <c r="EO31" s="593"/>
      <c r="EP31" s="593"/>
      <c r="EQ31" s="593"/>
      <c r="ER31" s="593"/>
      <c r="ES31" s="593"/>
      <c r="ET31" s="593"/>
      <c r="EU31" s="593"/>
      <c r="EV31" s="593"/>
      <c r="EW31" s="593"/>
      <c r="EX31" s="593"/>
      <c r="EY31" s="593"/>
      <c r="EZ31" s="593"/>
      <c r="FA31" s="593"/>
      <c r="FB31" s="593"/>
      <c r="FC31" s="593"/>
      <c r="FD31" s="593"/>
      <c r="FE31" s="593"/>
      <c r="FF31" s="593"/>
      <c r="FG31" s="593"/>
      <c r="FH31" s="593"/>
      <c r="FI31" s="593"/>
      <c r="FJ31" s="593"/>
      <c r="FK31" s="593"/>
      <c r="FL31" s="593"/>
      <c r="FM31" s="593"/>
      <c r="FN31" s="593"/>
      <c r="FO31" s="593"/>
      <c r="FP31" s="593"/>
      <c r="FQ31" s="593"/>
      <c r="FR31" s="593"/>
      <c r="FS31" s="593"/>
      <c r="FT31" s="593"/>
      <c r="FU31" s="593"/>
      <c r="FV31" s="593"/>
      <c r="FW31" s="593"/>
      <c r="FX31" s="593"/>
      <c r="FY31" s="593"/>
      <c r="FZ31" s="593"/>
      <c r="GA31" s="593"/>
      <c r="GB31" s="593"/>
      <c r="GC31" s="593"/>
      <c r="GD31" s="593"/>
      <c r="GE31" s="593"/>
      <c r="GF31" s="593"/>
      <c r="GG31" s="593"/>
      <c r="GH31" s="593"/>
      <c r="GI31" s="593"/>
      <c r="GJ31" s="593"/>
      <c r="GK31" s="593"/>
      <c r="GL31" s="593"/>
      <c r="GM31" s="593"/>
      <c r="GN31" s="593"/>
      <c r="GO31" s="593"/>
      <c r="GP31" s="593"/>
      <c r="GQ31" s="593"/>
      <c r="GR31" s="593"/>
      <c r="GS31" s="593"/>
      <c r="GT31" s="593"/>
      <c r="GU31" s="593"/>
      <c r="GV31" s="593"/>
      <c r="GW31" s="593"/>
      <c r="GX31" s="593"/>
      <c r="GY31" s="593"/>
      <c r="GZ31" s="593"/>
      <c r="HA31" s="593"/>
      <c r="HB31" s="593"/>
      <c r="HC31" s="593"/>
      <c r="HD31" s="593"/>
      <c r="HE31" s="593"/>
      <c r="HF31" s="593"/>
      <c r="HG31" s="593"/>
      <c r="HH31" s="593"/>
      <c r="HI31" s="593"/>
      <c r="HJ31" s="593"/>
      <c r="HK31" s="593"/>
      <c r="HL31" s="593"/>
      <c r="HM31" s="593"/>
      <c r="HN31" s="593"/>
      <c r="HO31" s="593"/>
      <c r="HP31" s="593"/>
      <c r="HQ31" s="593"/>
      <c r="HR31" s="593"/>
      <c r="HS31" s="593"/>
      <c r="HT31" s="593"/>
      <c r="HU31" s="593"/>
      <c r="HV31" s="593"/>
      <c r="HW31" s="593"/>
      <c r="HX31" s="593"/>
      <c r="HY31" s="593"/>
      <c r="HZ31" s="593"/>
      <c r="IA31" s="593"/>
      <c r="IB31" s="593"/>
      <c r="IC31" s="593"/>
      <c r="ID31" s="593"/>
      <c r="IE31" s="593"/>
      <c r="IF31" s="593"/>
      <c r="IG31" s="593"/>
      <c r="IH31" s="593"/>
      <c r="II31" s="593"/>
      <c r="IJ31" s="593"/>
      <c r="IK31" s="593"/>
      <c r="IL31" s="593"/>
      <c r="IM31" s="593"/>
      <c r="IN31" s="593"/>
      <c r="IO31" s="593"/>
      <c r="IP31" s="593"/>
      <c r="IQ31" s="593"/>
      <c r="IR31" s="593"/>
      <c r="IS31" s="593"/>
      <c r="IT31" s="593"/>
      <c r="IU31" s="593"/>
      <c r="IV31" s="593"/>
    </row>
    <row r="32" spans="1:256" ht="17.25" customHeight="1">
      <c r="A32" s="640">
        <v>23</v>
      </c>
      <c r="B32" s="661" t="s">
        <v>300</v>
      </c>
      <c r="C32" s="662"/>
      <c r="D32" s="581">
        <v>1975.6</v>
      </c>
      <c r="E32" s="582">
        <v>2715.2</v>
      </c>
      <c r="F32" s="581">
        <v>3141.3</v>
      </c>
      <c r="G32" s="581">
        <v>2344.1</v>
      </c>
      <c r="H32" s="581">
        <v>2889.2</v>
      </c>
      <c r="I32" s="581">
        <v>3256.5</v>
      </c>
      <c r="J32" s="413">
        <v>2410.8</v>
      </c>
      <c r="K32" s="581">
        <v>2793.7</v>
      </c>
      <c r="L32" s="582">
        <v>2810</v>
      </c>
      <c r="M32" s="581">
        <v>2912.5</v>
      </c>
      <c r="N32" s="582">
        <v>3851.4</v>
      </c>
      <c r="O32" s="413">
        <v>3310.6</v>
      </c>
      <c r="P32" s="680">
        <f t="shared" si="2"/>
        <v>34410.9</v>
      </c>
      <c r="Q32" s="638"/>
      <c r="R32" s="638"/>
      <c r="S32" s="638"/>
      <c r="T32" s="638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8"/>
      <c r="AH32" s="638"/>
      <c r="AI32" s="638"/>
      <c r="AJ32" s="638"/>
      <c r="AK32" s="638"/>
      <c r="AL32" s="638"/>
      <c r="AM32" s="638"/>
      <c r="AN32" s="638"/>
      <c r="AO32" s="638"/>
      <c r="AP32" s="638"/>
      <c r="AQ32" s="638"/>
      <c r="AR32" s="638"/>
      <c r="AS32" s="638"/>
      <c r="AT32" s="638"/>
      <c r="AU32" s="638"/>
      <c r="AV32" s="638"/>
      <c r="AW32" s="638"/>
      <c r="AX32" s="638"/>
      <c r="AY32" s="638"/>
      <c r="AZ32" s="638"/>
      <c r="BA32" s="638"/>
      <c r="BB32" s="638"/>
      <c r="BC32" s="638"/>
      <c r="BD32" s="638"/>
      <c r="BE32" s="638"/>
      <c r="BF32" s="638"/>
      <c r="BG32" s="638"/>
      <c r="BH32" s="638"/>
      <c r="BI32" s="638"/>
      <c r="BJ32" s="638"/>
      <c r="BK32" s="638"/>
      <c r="BL32" s="638"/>
      <c r="BM32" s="638"/>
      <c r="BN32" s="638"/>
      <c r="BO32" s="638"/>
      <c r="BP32" s="638"/>
      <c r="BQ32" s="638"/>
      <c r="BR32" s="638"/>
      <c r="BS32" s="638"/>
      <c r="BT32" s="638"/>
      <c r="BU32" s="638"/>
      <c r="BV32" s="638"/>
      <c r="BW32" s="638"/>
      <c r="BX32" s="638"/>
      <c r="BY32" s="638"/>
      <c r="BZ32" s="638"/>
      <c r="CA32" s="638"/>
      <c r="CB32" s="638"/>
      <c r="CC32" s="638"/>
      <c r="CD32" s="638"/>
      <c r="CE32" s="638"/>
      <c r="CF32" s="638"/>
      <c r="CG32" s="638"/>
      <c r="CH32" s="638"/>
      <c r="CI32" s="638"/>
      <c r="CJ32" s="638"/>
      <c r="CK32" s="638"/>
      <c r="CL32" s="638"/>
      <c r="CM32" s="638"/>
      <c r="CN32" s="638"/>
      <c r="CO32" s="638"/>
      <c r="CP32" s="638"/>
      <c r="CQ32" s="638"/>
      <c r="CR32" s="638"/>
      <c r="CS32" s="638"/>
      <c r="CT32" s="638"/>
      <c r="CU32" s="638"/>
      <c r="CV32" s="638"/>
      <c r="CW32" s="638"/>
      <c r="CX32" s="638"/>
      <c r="CY32" s="638"/>
      <c r="CZ32" s="638"/>
      <c r="DA32" s="638"/>
      <c r="DB32" s="638"/>
      <c r="DC32" s="638"/>
      <c r="DD32" s="638"/>
      <c r="DE32" s="638"/>
      <c r="DF32" s="638"/>
      <c r="DG32" s="638"/>
      <c r="DH32" s="638"/>
      <c r="DI32" s="638"/>
      <c r="DJ32" s="638"/>
      <c r="DK32" s="638"/>
      <c r="DL32" s="638"/>
      <c r="DM32" s="638"/>
      <c r="DN32" s="638"/>
      <c r="DO32" s="638"/>
      <c r="DP32" s="638"/>
      <c r="DQ32" s="638"/>
      <c r="DR32" s="638"/>
      <c r="DS32" s="638"/>
      <c r="DT32" s="638"/>
      <c r="DU32" s="638"/>
      <c r="DV32" s="638"/>
      <c r="DW32" s="638"/>
      <c r="DX32" s="638"/>
      <c r="DY32" s="638"/>
      <c r="DZ32" s="638"/>
      <c r="EA32" s="638"/>
      <c r="EB32" s="638"/>
      <c r="EC32" s="638"/>
      <c r="ED32" s="638"/>
      <c r="EE32" s="638"/>
      <c r="EF32" s="638"/>
      <c r="EG32" s="638"/>
      <c r="EH32" s="638"/>
      <c r="EI32" s="638"/>
      <c r="EJ32" s="638"/>
      <c r="EK32" s="638"/>
      <c r="EL32" s="638"/>
      <c r="EM32" s="638"/>
      <c r="EN32" s="638"/>
      <c r="EO32" s="638"/>
      <c r="EP32" s="638"/>
      <c r="EQ32" s="638"/>
      <c r="ER32" s="638"/>
      <c r="ES32" s="638"/>
      <c r="ET32" s="638"/>
      <c r="EU32" s="638"/>
      <c r="EV32" s="638"/>
      <c r="EW32" s="638"/>
      <c r="EX32" s="638"/>
      <c r="EY32" s="638"/>
      <c r="EZ32" s="638"/>
      <c r="FA32" s="638"/>
      <c r="FB32" s="638"/>
      <c r="FC32" s="638"/>
      <c r="FD32" s="638"/>
      <c r="FE32" s="638"/>
      <c r="FF32" s="638"/>
      <c r="FG32" s="638"/>
      <c r="FH32" s="638"/>
      <c r="FI32" s="638"/>
      <c r="FJ32" s="638"/>
      <c r="FK32" s="638"/>
      <c r="FL32" s="638"/>
      <c r="FM32" s="638"/>
      <c r="FN32" s="638"/>
      <c r="FO32" s="638"/>
      <c r="FP32" s="638"/>
      <c r="FQ32" s="638"/>
      <c r="FR32" s="638"/>
      <c r="FS32" s="638"/>
      <c r="FT32" s="638"/>
      <c r="FU32" s="638"/>
      <c r="FV32" s="638"/>
      <c r="FW32" s="638"/>
      <c r="FX32" s="638"/>
      <c r="FY32" s="638"/>
      <c r="FZ32" s="638"/>
      <c r="GA32" s="638"/>
      <c r="GB32" s="638"/>
      <c r="GC32" s="638"/>
      <c r="GD32" s="638"/>
      <c r="GE32" s="638"/>
      <c r="GF32" s="638"/>
      <c r="GG32" s="638"/>
      <c r="GH32" s="638"/>
      <c r="GI32" s="638"/>
      <c r="GJ32" s="638"/>
      <c r="GK32" s="638"/>
      <c r="GL32" s="638"/>
      <c r="GM32" s="638"/>
      <c r="GN32" s="638"/>
      <c r="GO32" s="638"/>
      <c r="GP32" s="638"/>
      <c r="GQ32" s="638"/>
      <c r="GR32" s="638"/>
      <c r="GS32" s="638"/>
      <c r="GT32" s="638"/>
      <c r="GU32" s="638"/>
      <c r="GV32" s="638"/>
      <c r="GW32" s="638"/>
      <c r="GX32" s="638"/>
      <c r="GY32" s="638"/>
      <c r="GZ32" s="638"/>
      <c r="HA32" s="638"/>
      <c r="HB32" s="638"/>
      <c r="HC32" s="638"/>
      <c r="HD32" s="638"/>
      <c r="HE32" s="638"/>
      <c r="HF32" s="638"/>
      <c r="HG32" s="638"/>
      <c r="HH32" s="638"/>
      <c r="HI32" s="638"/>
      <c r="HJ32" s="638"/>
      <c r="HK32" s="638"/>
      <c r="HL32" s="638"/>
      <c r="HM32" s="638"/>
      <c r="HN32" s="638"/>
      <c r="HO32" s="638"/>
      <c r="HP32" s="638"/>
      <c r="HQ32" s="638"/>
      <c r="HR32" s="638"/>
      <c r="HS32" s="638"/>
      <c r="HT32" s="638"/>
      <c r="HU32" s="638"/>
      <c r="HV32" s="638"/>
      <c r="HW32" s="638"/>
      <c r="HX32" s="638"/>
      <c r="HY32" s="638"/>
      <c r="HZ32" s="638"/>
      <c r="IA32" s="638"/>
      <c r="IB32" s="638"/>
      <c r="IC32" s="638"/>
      <c r="ID32" s="638"/>
      <c r="IE32" s="638"/>
      <c r="IF32" s="638"/>
      <c r="IG32" s="638"/>
      <c r="IH32" s="638"/>
      <c r="II32" s="638"/>
      <c r="IJ32" s="638"/>
      <c r="IK32" s="638"/>
      <c r="IL32" s="638"/>
      <c r="IM32" s="638"/>
      <c r="IN32" s="638"/>
      <c r="IO32" s="638"/>
      <c r="IP32" s="638"/>
      <c r="IQ32" s="638"/>
      <c r="IR32" s="638"/>
      <c r="IS32" s="638"/>
      <c r="IT32" s="638"/>
      <c r="IU32" s="638"/>
      <c r="IV32" s="638"/>
    </row>
    <row r="33" spans="1:256" ht="17.25" customHeight="1">
      <c r="A33" s="640">
        <v>24</v>
      </c>
      <c r="B33" s="864" t="s">
        <v>301</v>
      </c>
      <c r="C33" s="865"/>
      <c r="D33" s="581">
        <v>8.7</v>
      </c>
      <c r="E33" s="581">
        <v>0</v>
      </c>
      <c r="F33" s="582">
        <v>43.5</v>
      </c>
      <c r="G33" s="581">
        <v>88.7</v>
      </c>
      <c r="H33" s="581">
        <v>82.7</v>
      </c>
      <c r="I33" s="581">
        <v>39.1</v>
      </c>
      <c r="J33" s="413">
        <v>17.4</v>
      </c>
      <c r="K33" s="581">
        <v>17.4</v>
      </c>
      <c r="L33" s="582">
        <v>0</v>
      </c>
      <c r="M33" s="581">
        <v>0</v>
      </c>
      <c r="N33" s="582">
        <v>17.4</v>
      </c>
      <c r="O33" s="413">
        <v>0</v>
      </c>
      <c r="P33" s="594">
        <f t="shared" si="2"/>
        <v>314.9</v>
      </c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638"/>
      <c r="AL33" s="638"/>
      <c r="AM33" s="638"/>
      <c r="AN33" s="638"/>
      <c r="AO33" s="638"/>
      <c r="AP33" s="638"/>
      <c r="AQ33" s="638"/>
      <c r="AR33" s="638"/>
      <c r="AS33" s="638"/>
      <c r="AT33" s="638"/>
      <c r="AU33" s="638"/>
      <c r="AV33" s="638"/>
      <c r="AW33" s="638"/>
      <c r="AX33" s="638"/>
      <c r="AY33" s="638"/>
      <c r="AZ33" s="638"/>
      <c r="BA33" s="638"/>
      <c r="BB33" s="638"/>
      <c r="BC33" s="638"/>
      <c r="BD33" s="638"/>
      <c r="BE33" s="638"/>
      <c r="BF33" s="638"/>
      <c r="BG33" s="638"/>
      <c r="BH33" s="638"/>
      <c r="BI33" s="638"/>
      <c r="BJ33" s="638"/>
      <c r="BK33" s="638"/>
      <c r="BL33" s="638"/>
      <c r="BM33" s="638"/>
      <c r="BN33" s="638"/>
      <c r="BO33" s="638"/>
      <c r="BP33" s="638"/>
      <c r="BQ33" s="638"/>
      <c r="BR33" s="638"/>
      <c r="BS33" s="638"/>
      <c r="BT33" s="638"/>
      <c r="BU33" s="638"/>
      <c r="BV33" s="638"/>
      <c r="BW33" s="638"/>
      <c r="BX33" s="638"/>
      <c r="BY33" s="638"/>
      <c r="BZ33" s="638"/>
      <c r="CA33" s="638"/>
      <c r="CB33" s="638"/>
      <c r="CC33" s="638"/>
      <c r="CD33" s="638"/>
      <c r="CE33" s="638"/>
      <c r="CF33" s="638"/>
      <c r="CG33" s="638"/>
      <c r="CH33" s="638"/>
      <c r="CI33" s="638"/>
      <c r="CJ33" s="638"/>
      <c r="CK33" s="638"/>
      <c r="CL33" s="638"/>
      <c r="CM33" s="638"/>
      <c r="CN33" s="638"/>
      <c r="CO33" s="638"/>
      <c r="CP33" s="638"/>
      <c r="CQ33" s="638"/>
      <c r="CR33" s="638"/>
      <c r="CS33" s="638"/>
      <c r="CT33" s="638"/>
      <c r="CU33" s="638"/>
      <c r="CV33" s="638"/>
      <c r="CW33" s="638"/>
      <c r="CX33" s="638"/>
      <c r="CY33" s="638"/>
      <c r="CZ33" s="638"/>
      <c r="DA33" s="638"/>
      <c r="DB33" s="638"/>
      <c r="DC33" s="638"/>
      <c r="DD33" s="638"/>
      <c r="DE33" s="638"/>
      <c r="DF33" s="638"/>
      <c r="DG33" s="638"/>
      <c r="DH33" s="638"/>
      <c r="DI33" s="638"/>
      <c r="DJ33" s="638"/>
      <c r="DK33" s="638"/>
      <c r="DL33" s="638"/>
      <c r="DM33" s="638"/>
      <c r="DN33" s="638"/>
      <c r="DO33" s="638"/>
      <c r="DP33" s="638"/>
      <c r="DQ33" s="638"/>
      <c r="DR33" s="638"/>
      <c r="DS33" s="638"/>
      <c r="DT33" s="638"/>
      <c r="DU33" s="638"/>
      <c r="DV33" s="638"/>
      <c r="DW33" s="638"/>
      <c r="DX33" s="638"/>
      <c r="DY33" s="638"/>
      <c r="DZ33" s="638"/>
      <c r="EA33" s="638"/>
      <c r="EB33" s="638"/>
      <c r="EC33" s="638"/>
      <c r="ED33" s="638"/>
      <c r="EE33" s="638"/>
      <c r="EF33" s="638"/>
      <c r="EG33" s="638"/>
      <c r="EH33" s="638"/>
      <c r="EI33" s="638"/>
      <c r="EJ33" s="638"/>
      <c r="EK33" s="638"/>
      <c r="EL33" s="638"/>
      <c r="EM33" s="638"/>
      <c r="EN33" s="638"/>
      <c r="EO33" s="638"/>
      <c r="EP33" s="638"/>
      <c r="EQ33" s="638"/>
      <c r="ER33" s="638"/>
      <c r="ES33" s="638"/>
      <c r="ET33" s="638"/>
      <c r="EU33" s="638"/>
      <c r="EV33" s="638"/>
      <c r="EW33" s="638"/>
      <c r="EX33" s="638"/>
      <c r="EY33" s="638"/>
      <c r="EZ33" s="638"/>
      <c r="FA33" s="638"/>
      <c r="FB33" s="638"/>
      <c r="FC33" s="638"/>
      <c r="FD33" s="638"/>
      <c r="FE33" s="638"/>
      <c r="FF33" s="638"/>
      <c r="FG33" s="638"/>
      <c r="FH33" s="638"/>
      <c r="FI33" s="638"/>
      <c r="FJ33" s="638"/>
      <c r="FK33" s="638"/>
      <c r="FL33" s="638"/>
      <c r="FM33" s="638"/>
      <c r="FN33" s="638"/>
      <c r="FO33" s="638"/>
      <c r="FP33" s="638"/>
      <c r="FQ33" s="638"/>
      <c r="FR33" s="638"/>
      <c r="FS33" s="638"/>
      <c r="FT33" s="638"/>
      <c r="FU33" s="638"/>
      <c r="FV33" s="638"/>
      <c r="FW33" s="638"/>
      <c r="FX33" s="638"/>
      <c r="FY33" s="638"/>
      <c r="FZ33" s="638"/>
      <c r="GA33" s="638"/>
      <c r="GB33" s="638"/>
      <c r="GC33" s="638"/>
      <c r="GD33" s="638"/>
      <c r="GE33" s="638"/>
      <c r="GF33" s="638"/>
      <c r="GG33" s="638"/>
      <c r="GH33" s="638"/>
      <c r="GI33" s="638"/>
      <c r="GJ33" s="638"/>
      <c r="GK33" s="638"/>
      <c r="GL33" s="638"/>
      <c r="GM33" s="638"/>
      <c r="GN33" s="638"/>
      <c r="GO33" s="638"/>
      <c r="GP33" s="638"/>
      <c r="GQ33" s="638"/>
      <c r="GR33" s="638"/>
      <c r="GS33" s="638"/>
      <c r="GT33" s="638"/>
      <c r="GU33" s="638"/>
      <c r="GV33" s="638"/>
      <c r="GW33" s="638"/>
      <c r="GX33" s="638"/>
      <c r="GY33" s="638"/>
      <c r="GZ33" s="638"/>
      <c r="HA33" s="638"/>
      <c r="HB33" s="638"/>
      <c r="HC33" s="638"/>
      <c r="HD33" s="638"/>
      <c r="HE33" s="638"/>
      <c r="HF33" s="638"/>
      <c r="HG33" s="638"/>
      <c r="HH33" s="638"/>
      <c r="HI33" s="638"/>
      <c r="HJ33" s="638"/>
      <c r="HK33" s="638"/>
      <c r="HL33" s="638"/>
      <c r="HM33" s="638"/>
      <c r="HN33" s="638"/>
      <c r="HO33" s="638"/>
      <c r="HP33" s="638"/>
      <c r="HQ33" s="638"/>
      <c r="HR33" s="638"/>
      <c r="HS33" s="638"/>
      <c r="HT33" s="638"/>
      <c r="HU33" s="638"/>
      <c r="HV33" s="638"/>
      <c r="HW33" s="638"/>
      <c r="HX33" s="638"/>
      <c r="HY33" s="638"/>
      <c r="HZ33" s="638"/>
      <c r="IA33" s="638"/>
      <c r="IB33" s="638"/>
      <c r="IC33" s="638"/>
      <c r="ID33" s="638"/>
      <c r="IE33" s="638"/>
      <c r="IF33" s="638"/>
      <c r="IG33" s="638"/>
      <c r="IH33" s="638"/>
      <c r="II33" s="638"/>
      <c r="IJ33" s="638"/>
      <c r="IK33" s="638"/>
      <c r="IL33" s="638"/>
      <c r="IM33" s="638"/>
      <c r="IN33" s="638"/>
      <c r="IO33" s="638"/>
      <c r="IP33" s="638"/>
      <c r="IQ33" s="638"/>
      <c r="IR33" s="638"/>
      <c r="IS33" s="638"/>
      <c r="IT33" s="638"/>
      <c r="IU33" s="638"/>
      <c r="IV33" s="638"/>
    </row>
    <row r="34" spans="1:256" ht="17.25" customHeight="1" thickBot="1">
      <c r="A34" s="642">
        <v>25</v>
      </c>
      <c r="B34" s="866" t="s">
        <v>302</v>
      </c>
      <c r="C34" s="867"/>
      <c r="D34" s="584">
        <v>7.4</v>
      </c>
      <c r="E34" s="584">
        <v>18</v>
      </c>
      <c r="F34" s="583">
        <v>18</v>
      </c>
      <c r="G34" s="584">
        <v>31</v>
      </c>
      <c r="H34" s="584">
        <v>14</v>
      </c>
      <c r="I34" s="584">
        <v>12</v>
      </c>
      <c r="J34" s="368">
        <v>26</v>
      </c>
      <c r="K34" s="581">
        <v>26</v>
      </c>
      <c r="L34" s="582">
        <v>20</v>
      </c>
      <c r="M34" s="581">
        <v>14</v>
      </c>
      <c r="N34" s="582">
        <v>14</v>
      </c>
      <c r="O34" s="413">
        <v>9</v>
      </c>
      <c r="P34" s="595">
        <f t="shared" si="2"/>
        <v>209.4</v>
      </c>
      <c r="Q34" s="638"/>
      <c r="R34" s="638"/>
      <c r="S34" s="638"/>
      <c r="T34" s="638"/>
      <c r="U34" s="638"/>
      <c r="V34" s="638"/>
      <c r="W34" s="638"/>
      <c r="X34" s="638"/>
      <c r="Y34" s="638"/>
      <c r="Z34" s="638"/>
      <c r="AA34" s="638"/>
      <c r="AB34" s="638"/>
      <c r="AC34" s="638"/>
      <c r="AD34" s="638"/>
      <c r="AE34" s="638"/>
      <c r="AF34" s="638"/>
      <c r="AG34" s="638"/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38"/>
      <c r="AT34" s="638"/>
      <c r="AU34" s="638"/>
      <c r="AV34" s="638"/>
      <c r="AW34" s="638"/>
      <c r="AX34" s="638"/>
      <c r="AY34" s="638"/>
      <c r="AZ34" s="638"/>
      <c r="BA34" s="638"/>
      <c r="BB34" s="638"/>
      <c r="BC34" s="638"/>
      <c r="BD34" s="638"/>
      <c r="BE34" s="638"/>
      <c r="BF34" s="638"/>
      <c r="BG34" s="638"/>
      <c r="BH34" s="638"/>
      <c r="BI34" s="638"/>
      <c r="BJ34" s="638"/>
      <c r="BK34" s="638"/>
      <c r="BL34" s="638"/>
      <c r="BM34" s="638"/>
      <c r="BN34" s="638"/>
      <c r="BO34" s="638"/>
      <c r="BP34" s="638"/>
      <c r="BQ34" s="638"/>
      <c r="BR34" s="638"/>
      <c r="BS34" s="638"/>
      <c r="BT34" s="638"/>
      <c r="BU34" s="638"/>
      <c r="BV34" s="638"/>
      <c r="BW34" s="638"/>
      <c r="BX34" s="638"/>
      <c r="BY34" s="638"/>
      <c r="BZ34" s="638"/>
      <c r="CA34" s="638"/>
      <c r="CB34" s="638"/>
      <c r="CC34" s="638"/>
      <c r="CD34" s="638"/>
      <c r="CE34" s="638"/>
      <c r="CF34" s="638"/>
      <c r="CG34" s="638"/>
      <c r="CH34" s="638"/>
      <c r="CI34" s="638"/>
      <c r="CJ34" s="638"/>
      <c r="CK34" s="638"/>
      <c r="CL34" s="638"/>
      <c r="CM34" s="638"/>
      <c r="CN34" s="638"/>
      <c r="CO34" s="638"/>
      <c r="CP34" s="638"/>
      <c r="CQ34" s="638"/>
      <c r="CR34" s="638"/>
      <c r="CS34" s="638"/>
      <c r="CT34" s="638"/>
      <c r="CU34" s="638"/>
      <c r="CV34" s="638"/>
      <c r="CW34" s="638"/>
      <c r="CX34" s="638"/>
      <c r="CY34" s="638"/>
      <c r="CZ34" s="638"/>
      <c r="DA34" s="638"/>
      <c r="DB34" s="638"/>
      <c r="DC34" s="638"/>
      <c r="DD34" s="638"/>
      <c r="DE34" s="638"/>
      <c r="DF34" s="638"/>
      <c r="DG34" s="638"/>
      <c r="DH34" s="638"/>
      <c r="DI34" s="638"/>
      <c r="DJ34" s="638"/>
      <c r="DK34" s="638"/>
      <c r="DL34" s="638"/>
      <c r="DM34" s="638"/>
      <c r="DN34" s="638"/>
      <c r="DO34" s="638"/>
      <c r="DP34" s="638"/>
      <c r="DQ34" s="638"/>
      <c r="DR34" s="638"/>
      <c r="DS34" s="638"/>
      <c r="DT34" s="638"/>
      <c r="DU34" s="638"/>
      <c r="DV34" s="638"/>
      <c r="DW34" s="638"/>
      <c r="DX34" s="638"/>
      <c r="DY34" s="638"/>
      <c r="DZ34" s="638"/>
      <c r="EA34" s="638"/>
      <c r="EB34" s="638"/>
      <c r="EC34" s="638"/>
      <c r="ED34" s="638"/>
      <c r="EE34" s="638"/>
      <c r="EF34" s="638"/>
      <c r="EG34" s="638"/>
      <c r="EH34" s="638"/>
      <c r="EI34" s="638"/>
      <c r="EJ34" s="638"/>
      <c r="EK34" s="638"/>
      <c r="EL34" s="638"/>
      <c r="EM34" s="638"/>
      <c r="EN34" s="638"/>
      <c r="EO34" s="638"/>
      <c r="EP34" s="638"/>
      <c r="EQ34" s="638"/>
      <c r="ER34" s="638"/>
      <c r="ES34" s="638"/>
      <c r="ET34" s="638"/>
      <c r="EU34" s="638"/>
      <c r="EV34" s="638"/>
      <c r="EW34" s="638"/>
      <c r="EX34" s="638"/>
      <c r="EY34" s="638"/>
      <c r="EZ34" s="638"/>
      <c r="FA34" s="638"/>
      <c r="FB34" s="638"/>
      <c r="FC34" s="638"/>
      <c r="FD34" s="638"/>
      <c r="FE34" s="638"/>
      <c r="FF34" s="638"/>
      <c r="FG34" s="638"/>
      <c r="FH34" s="638"/>
      <c r="FI34" s="638"/>
      <c r="FJ34" s="638"/>
      <c r="FK34" s="638"/>
      <c r="FL34" s="638"/>
      <c r="FM34" s="638"/>
      <c r="FN34" s="638"/>
      <c r="FO34" s="638"/>
      <c r="FP34" s="638"/>
      <c r="FQ34" s="638"/>
      <c r="FR34" s="638"/>
      <c r="FS34" s="638"/>
      <c r="FT34" s="638"/>
      <c r="FU34" s="638"/>
      <c r="FV34" s="638"/>
      <c r="FW34" s="638"/>
      <c r="FX34" s="638"/>
      <c r="FY34" s="638"/>
      <c r="FZ34" s="638"/>
      <c r="GA34" s="638"/>
      <c r="GB34" s="638"/>
      <c r="GC34" s="638"/>
      <c r="GD34" s="638"/>
      <c r="GE34" s="638"/>
      <c r="GF34" s="638"/>
      <c r="GG34" s="638"/>
      <c r="GH34" s="638"/>
      <c r="GI34" s="638"/>
      <c r="GJ34" s="638"/>
      <c r="GK34" s="638"/>
      <c r="GL34" s="638"/>
      <c r="GM34" s="638"/>
      <c r="GN34" s="638"/>
      <c r="GO34" s="638"/>
      <c r="GP34" s="638"/>
      <c r="GQ34" s="638"/>
      <c r="GR34" s="638"/>
      <c r="GS34" s="638"/>
      <c r="GT34" s="638"/>
      <c r="GU34" s="638"/>
      <c r="GV34" s="638"/>
      <c r="GW34" s="638"/>
      <c r="GX34" s="638"/>
      <c r="GY34" s="638"/>
      <c r="GZ34" s="638"/>
      <c r="HA34" s="638"/>
      <c r="HB34" s="638"/>
      <c r="HC34" s="638"/>
      <c r="HD34" s="638"/>
      <c r="HE34" s="638"/>
      <c r="HF34" s="638"/>
      <c r="HG34" s="638"/>
      <c r="HH34" s="638"/>
      <c r="HI34" s="638"/>
      <c r="HJ34" s="638"/>
      <c r="HK34" s="638"/>
      <c r="HL34" s="638"/>
      <c r="HM34" s="638"/>
      <c r="HN34" s="638"/>
      <c r="HO34" s="638"/>
      <c r="HP34" s="638"/>
      <c r="HQ34" s="638"/>
      <c r="HR34" s="638"/>
      <c r="HS34" s="638"/>
      <c r="HT34" s="638"/>
      <c r="HU34" s="638"/>
      <c r="HV34" s="638"/>
      <c r="HW34" s="638"/>
      <c r="HX34" s="638"/>
      <c r="HY34" s="638"/>
      <c r="HZ34" s="638"/>
      <c r="IA34" s="638"/>
      <c r="IB34" s="638"/>
      <c r="IC34" s="638"/>
      <c r="ID34" s="638"/>
      <c r="IE34" s="638"/>
      <c r="IF34" s="638"/>
      <c r="IG34" s="638"/>
      <c r="IH34" s="638"/>
      <c r="II34" s="638"/>
      <c r="IJ34" s="638"/>
      <c r="IK34" s="638"/>
      <c r="IL34" s="638"/>
      <c r="IM34" s="638"/>
      <c r="IN34" s="638"/>
      <c r="IO34" s="638"/>
      <c r="IP34" s="638"/>
      <c r="IQ34" s="638"/>
      <c r="IR34" s="638"/>
      <c r="IS34" s="638"/>
      <c r="IT34" s="638"/>
      <c r="IU34" s="638"/>
      <c r="IV34" s="638"/>
    </row>
    <row r="35" spans="1:256" ht="18.75" customHeight="1" thickBot="1">
      <c r="A35" s="669"/>
      <c r="B35" s="854" t="s">
        <v>20</v>
      </c>
      <c r="C35" s="855"/>
      <c r="D35" s="672">
        <f>D32+D33+D34</f>
        <v>1991.7</v>
      </c>
      <c r="E35" s="672">
        <f aca="true" t="shared" si="7" ref="E35:O35">E32+E33+E34</f>
        <v>2733.2</v>
      </c>
      <c r="F35" s="672">
        <f t="shared" si="7"/>
        <v>3202.8</v>
      </c>
      <c r="G35" s="672">
        <f t="shared" si="7"/>
        <v>2463.7999999999997</v>
      </c>
      <c r="H35" s="672">
        <f t="shared" si="7"/>
        <v>2985.8999999999996</v>
      </c>
      <c r="I35" s="672">
        <f t="shared" si="7"/>
        <v>3307.6</v>
      </c>
      <c r="J35" s="672">
        <f t="shared" si="7"/>
        <v>2454.2000000000003</v>
      </c>
      <c r="K35" s="672">
        <f t="shared" si="7"/>
        <v>2837.1</v>
      </c>
      <c r="L35" s="672">
        <f t="shared" si="7"/>
        <v>2830</v>
      </c>
      <c r="M35" s="672">
        <f t="shared" si="7"/>
        <v>2926.5</v>
      </c>
      <c r="N35" s="672">
        <f t="shared" si="7"/>
        <v>3882.8</v>
      </c>
      <c r="O35" s="672">
        <f t="shared" si="7"/>
        <v>3319.6</v>
      </c>
      <c r="P35" s="681">
        <f>P32+P33+P34</f>
        <v>34935.200000000004</v>
      </c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ht="18.75" thickBot="1">
      <c r="A36" s="673" t="s">
        <v>42</v>
      </c>
      <c r="B36" s="856" t="s">
        <v>20</v>
      </c>
      <c r="C36" s="857"/>
      <c r="D36" s="589">
        <f>D30+D25+D21+D18+D35</f>
        <v>4733.4</v>
      </c>
      <c r="E36" s="589">
        <f>E30+E25+E21+E18+E35</f>
        <v>5471</v>
      </c>
      <c r="F36" s="589">
        <f>F30+F25+F21+F18+F35</f>
        <v>5936.6</v>
      </c>
      <c r="G36" s="589">
        <f>G30+G25+G21+G18+G35</f>
        <v>13017.699999999999</v>
      </c>
      <c r="H36" s="589">
        <f>H30+H25+H21+H18+H35</f>
        <v>13481.9</v>
      </c>
      <c r="I36" s="589">
        <f aca="true" t="shared" si="8" ref="I36:O36">I30+I25+I21+I18+I35</f>
        <v>11827.1</v>
      </c>
      <c r="J36" s="589">
        <f t="shared" si="8"/>
        <v>10652.7</v>
      </c>
      <c r="K36" s="589">
        <f t="shared" si="8"/>
        <v>10576.7</v>
      </c>
      <c r="L36" s="589">
        <f t="shared" si="8"/>
        <v>13693.4</v>
      </c>
      <c r="M36" s="589">
        <f t="shared" si="8"/>
        <v>13809.771</v>
      </c>
      <c r="N36" s="589">
        <f t="shared" si="8"/>
        <v>14367.900000000001</v>
      </c>
      <c r="O36" s="589">
        <f t="shared" si="8"/>
        <v>13665.300000000001</v>
      </c>
      <c r="P36" s="588">
        <f>P31+P35</f>
        <v>131233.47100000002</v>
      </c>
      <c r="Q36" s="638"/>
      <c r="R36" s="638"/>
      <c r="S36" s="638"/>
      <c r="T36" s="638"/>
      <c r="U36" s="638"/>
      <c r="V36" s="638"/>
      <c r="W36" s="638"/>
      <c r="X36" s="638"/>
      <c r="Y36" s="638"/>
      <c r="Z36" s="638"/>
      <c r="AA36" s="638"/>
      <c r="AB36" s="638"/>
      <c r="AC36" s="638"/>
      <c r="AD36" s="638"/>
      <c r="AE36" s="638"/>
      <c r="AF36" s="638"/>
      <c r="AG36" s="638"/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38"/>
      <c r="AT36" s="638"/>
      <c r="AU36" s="638"/>
      <c r="AV36" s="638"/>
      <c r="AW36" s="638"/>
      <c r="AX36" s="638"/>
      <c r="AY36" s="638"/>
      <c r="AZ36" s="638"/>
      <c r="BA36" s="638"/>
      <c r="BB36" s="638"/>
      <c r="BC36" s="638"/>
      <c r="BD36" s="638"/>
      <c r="BE36" s="638"/>
      <c r="BF36" s="638"/>
      <c r="BG36" s="638"/>
      <c r="BH36" s="638"/>
      <c r="BI36" s="638"/>
      <c r="BJ36" s="638"/>
      <c r="BK36" s="638"/>
      <c r="BL36" s="638"/>
      <c r="BM36" s="638"/>
      <c r="BN36" s="638"/>
      <c r="BO36" s="638"/>
      <c r="BP36" s="638"/>
      <c r="BQ36" s="638"/>
      <c r="BR36" s="638"/>
      <c r="BS36" s="638"/>
      <c r="BT36" s="638"/>
      <c r="BU36" s="638"/>
      <c r="BV36" s="638"/>
      <c r="BW36" s="638"/>
      <c r="BX36" s="638"/>
      <c r="BY36" s="638"/>
      <c r="BZ36" s="638"/>
      <c r="CA36" s="638"/>
      <c r="CB36" s="638"/>
      <c r="CC36" s="638"/>
      <c r="CD36" s="638"/>
      <c r="CE36" s="638"/>
      <c r="CF36" s="638"/>
      <c r="CG36" s="638"/>
      <c r="CH36" s="638"/>
      <c r="CI36" s="638"/>
      <c r="CJ36" s="638"/>
      <c r="CK36" s="638"/>
      <c r="CL36" s="638"/>
      <c r="CM36" s="638"/>
      <c r="CN36" s="638"/>
      <c r="CO36" s="638"/>
      <c r="CP36" s="638"/>
      <c r="CQ36" s="638"/>
      <c r="CR36" s="638"/>
      <c r="CS36" s="638"/>
      <c r="CT36" s="638"/>
      <c r="CU36" s="638"/>
      <c r="CV36" s="638"/>
      <c r="CW36" s="638"/>
      <c r="CX36" s="638"/>
      <c r="CY36" s="638"/>
      <c r="CZ36" s="638"/>
      <c r="DA36" s="638"/>
      <c r="DB36" s="638"/>
      <c r="DC36" s="638"/>
      <c r="DD36" s="638"/>
      <c r="DE36" s="638"/>
      <c r="DF36" s="638"/>
      <c r="DG36" s="638"/>
      <c r="DH36" s="638"/>
      <c r="DI36" s="638"/>
      <c r="DJ36" s="638"/>
      <c r="DK36" s="638"/>
      <c r="DL36" s="638"/>
      <c r="DM36" s="638"/>
      <c r="DN36" s="638"/>
      <c r="DO36" s="638"/>
      <c r="DP36" s="638"/>
      <c r="DQ36" s="638"/>
      <c r="DR36" s="638"/>
      <c r="DS36" s="638"/>
      <c r="DT36" s="638"/>
      <c r="DU36" s="638"/>
      <c r="DV36" s="638"/>
      <c r="DW36" s="638"/>
      <c r="DX36" s="638"/>
      <c r="DY36" s="638"/>
      <c r="DZ36" s="638"/>
      <c r="EA36" s="638"/>
      <c r="EB36" s="638"/>
      <c r="EC36" s="638"/>
      <c r="ED36" s="638"/>
      <c r="EE36" s="638"/>
      <c r="EF36" s="638"/>
      <c r="EG36" s="638"/>
      <c r="EH36" s="638"/>
      <c r="EI36" s="638"/>
      <c r="EJ36" s="638"/>
      <c r="EK36" s="638"/>
      <c r="EL36" s="638"/>
      <c r="EM36" s="638"/>
      <c r="EN36" s="638"/>
      <c r="EO36" s="638"/>
      <c r="EP36" s="638"/>
      <c r="EQ36" s="638"/>
      <c r="ER36" s="638"/>
      <c r="ES36" s="638"/>
      <c r="ET36" s="638"/>
      <c r="EU36" s="638"/>
      <c r="EV36" s="638"/>
      <c r="EW36" s="638"/>
      <c r="EX36" s="638"/>
      <c r="EY36" s="638"/>
      <c r="EZ36" s="638"/>
      <c r="FA36" s="638"/>
      <c r="FB36" s="638"/>
      <c r="FC36" s="638"/>
      <c r="FD36" s="638"/>
      <c r="FE36" s="638"/>
      <c r="FF36" s="638"/>
      <c r="FG36" s="638"/>
      <c r="FH36" s="638"/>
      <c r="FI36" s="638"/>
      <c r="FJ36" s="638"/>
      <c r="FK36" s="638"/>
      <c r="FL36" s="638"/>
      <c r="FM36" s="638"/>
      <c r="FN36" s="638"/>
      <c r="FO36" s="638"/>
      <c r="FP36" s="638"/>
      <c r="FQ36" s="638"/>
      <c r="FR36" s="638"/>
      <c r="FS36" s="638"/>
      <c r="FT36" s="638"/>
      <c r="FU36" s="638"/>
      <c r="FV36" s="638"/>
      <c r="FW36" s="638"/>
      <c r="FX36" s="638"/>
      <c r="FY36" s="638"/>
      <c r="FZ36" s="638"/>
      <c r="GA36" s="638"/>
      <c r="GB36" s="638"/>
      <c r="GC36" s="638"/>
      <c r="GD36" s="638"/>
      <c r="GE36" s="638"/>
      <c r="GF36" s="638"/>
      <c r="GG36" s="638"/>
      <c r="GH36" s="638"/>
      <c r="GI36" s="638"/>
      <c r="GJ36" s="638"/>
      <c r="GK36" s="638"/>
      <c r="GL36" s="638"/>
      <c r="GM36" s="638"/>
      <c r="GN36" s="638"/>
      <c r="GO36" s="638"/>
      <c r="GP36" s="638"/>
      <c r="GQ36" s="638"/>
      <c r="GR36" s="638"/>
      <c r="GS36" s="638"/>
      <c r="GT36" s="638"/>
      <c r="GU36" s="638"/>
      <c r="GV36" s="638"/>
      <c r="GW36" s="638"/>
      <c r="GX36" s="638"/>
      <c r="GY36" s="638"/>
      <c r="GZ36" s="638"/>
      <c r="HA36" s="638"/>
      <c r="HB36" s="638"/>
      <c r="HC36" s="638"/>
      <c r="HD36" s="638"/>
      <c r="HE36" s="638"/>
      <c r="HF36" s="638"/>
      <c r="HG36" s="638"/>
      <c r="HH36" s="638"/>
      <c r="HI36" s="638"/>
      <c r="HJ36" s="638"/>
      <c r="HK36" s="638"/>
      <c r="HL36" s="638"/>
      <c r="HM36" s="638"/>
      <c r="HN36" s="638"/>
      <c r="HO36" s="638"/>
      <c r="HP36" s="638"/>
      <c r="HQ36" s="638"/>
      <c r="HR36" s="638"/>
      <c r="HS36" s="638"/>
      <c r="HT36" s="638"/>
      <c r="HU36" s="638"/>
      <c r="HV36" s="638"/>
      <c r="HW36" s="638"/>
      <c r="HX36" s="638"/>
      <c r="HY36" s="638"/>
      <c r="HZ36" s="638"/>
      <c r="IA36" s="638"/>
      <c r="IB36" s="638"/>
      <c r="IC36" s="638"/>
      <c r="ID36" s="638"/>
      <c r="IE36" s="638"/>
      <c r="IF36" s="638"/>
      <c r="IG36" s="638"/>
      <c r="IH36" s="638"/>
      <c r="II36" s="638"/>
      <c r="IJ36" s="638"/>
      <c r="IK36" s="638"/>
      <c r="IL36" s="638"/>
      <c r="IM36" s="638"/>
      <c r="IN36" s="638"/>
      <c r="IO36" s="638"/>
      <c r="IP36" s="638"/>
      <c r="IQ36" s="638"/>
      <c r="IR36" s="638"/>
      <c r="IS36" s="638"/>
      <c r="IT36" s="638"/>
      <c r="IU36" s="638"/>
      <c r="IV36" s="638"/>
    </row>
  </sheetData>
  <sheetProtection/>
  <mergeCells count="30">
    <mergeCell ref="O4:O5"/>
    <mergeCell ref="P4:P5"/>
    <mergeCell ref="G4:G5"/>
    <mergeCell ref="H4:H5"/>
    <mergeCell ref="M4:M5"/>
    <mergeCell ref="N4:N5"/>
    <mergeCell ref="A1:K1"/>
    <mergeCell ref="A2:P2"/>
    <mergeCell ref="H3:I3"/>
    <mergeCell ref="A4:A5"/>
    <mergeCell ref="B4:C5"/>
    <mergeCell ref="D4:D5"/>
    <mergeCell ref="B20:C20"/>
    <mergeCell ref="B21:C21"/>
    <mergeCell ref="I4:I5"/>
    <mergeCell ref="J4:J5"/>
    <mergeCell ref="K4:K5"/>
    <mergeCell ref="L4:L5"/>
    <mergeCell ref="E4:E5"/>
    <mergeCell ref="F4:F5"/>
    <mergeCell ref="B18:C18"/>
    <mergeCell ref="B19:C19"/>
    <mergeCell ref="B35:C35"/>
    <mergeCell ref="B36:C36"/>
    <mergeCell ref="B25:C25"/>
    <mergeCell ref="B26:C26"/>
    <mergeCell ref="B30:C30"/>
    <mergeCell ref="B31:C31"/>
    <mergeCell ref="B33:C33"/>
    <mergeCell ref="B34:C34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20.57421875" style="0" customWidth="1"/>
    <col min="2" max="2" width="9.00390625" style="0" customWidth="1"/>
    <col min="3" max="7" width="7.7109375" style="0" customWidth="1"/>
    <col min="8" max="8" width="8.7109375" style="0" customWidth="1"/>
    <col min="9" max="9" width="8.8515625" style="0" customWidth="1"/>
    <col min="10" max="10" width="7.7109375" style="0" customWidth="1"/>
    <col min="11" max="11" width="8.421875" style="0" customWidth="1"/>
    <col min="12" max="12" width="8.8515625" style="0" customWidth="1"/>
    <col min="13" max="13" width="14.00390625" style="0" customWidth="1"/>
    <col min="14" max="14" width="6.8515625" style="0" customWidth="1"/>
    <col min="15" max="15" width="9.421875" style="0" customWidth="1"/>
    <col min="16" max="16" width="8.140625" style="0" customWidth="1"/>
    <col min="17" max="17" width="9.00390625" style="0" customWidth="1"/>
    <col min="18" max="18" width="8.140625" style="0" customWidth="1"/>
    <col min="19" max="19" width="13.00390625" style="0" customWidth="1"/>
  </cols>
  <sheetData>
    <row r="1" spans="1:19" ht="15.75">
      <c r="A1" s="596" t="s">
        <v>245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</row>
    <row r="2" spans="1:19" s="697" customFormat="1" ht="18.75">
      <c r="A2" s="901" t="s">
        <v>319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</row>
    <row r="3" spans="1:19" ht="15.75">
      <c r="A3" s="902" t="s">
        <v>304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</row>
    <row r="4" spans="1:19" ht="16.5" thickBot="1">
      <c r="A4" s="564"/>
      <c r="B4" s="564"/>
      <c r="C4" s="564"/>
      <c r="D4" s="564"/>
      <c r="E4" s="564"/>
      <c r="F4" s="564"/>
      <c r="G4" s="564"/>
      <c r="H4" s="564"/>
      <c r="I4" s="565"/>
      <c r="J4" s="565"/>
      <c r="K4" s="565"/>
      <c r="L4" s="565"/>
      <c r="M4" s="565"/>
      <c r="N4" s="565"/>
      <c r="O4" s="565"/>
      <c r="P4" s="566"/>
      <c r="Q4" s="566"/>
      <c r="R4" s="566"/>
      <c r="S4" s="598" t="s">
        <v>303</v>
      </c>
    </row>
    <row r="5" spans="1:19" ht="5.25" customHeight="1">
      <c r="A5" s="915" t="s">
        <v>233</v>
      </c>
      <c r="B5" s="906">
        <v>4111</v>
      </c>
      <c r="C5" s="903" t="s">
        <v>235</v>
      </c>
      <c r="D5" s="906" t="s">
        <v>246</v>
      </c>
      <c r="E5" s="903" t="s">
        <v>247</v>
      </c>
      <c r="F5" s="906">
        <v>4213</v>
      </c>
      <c r="G5" s="903">
        <v>4214</v>
      </c>
      <c r="H5" s="906">
        <v>4251</v>
      </c>
      <c r="I5" s="909">
        <v>4511</v>
      </c>
      <c r="J5" s="912">
        <v>4823</v>
      </c>
      <c r="K5" s="909">
        <v>5112</v>
      </c>
      <c r="L5" s="912">
        <v>5113</v>
      </c>
      <c r="M5" s="889" t="s">
        <v>248</v>
      </c>
      <c r="N5" s="892" t="s">
        <v>249</v>
      </c>
      <c r="O5" s="895" t="s">
        <v>250</v>
      </c>
      <c r="P5" s="896"/>
      <c r="Q5" s="896"/>
      <c r="R5" s="896"/>
      <c r="S5" s="897"/>
    </row>
    <row r="6" spans="1:19" ht="10.5" customHeight="1" thickBot="1">
      <c r="A6" s="916"/>
      <c r="B6" s="907"/>
      <c r="C6" s="904"/>
      <c r="D6" s="907"/>
      <c r="E6" s="904"/>
      <c r="F6" s="907"/>
      <c r="G6" s="904"/>
      <c r="H6" s="907"/>
      <c r="I6" s="910"/>
      <c r="J6" s="913"/>
      <c r="K6" s="910"/>
      <c r="L6" s="913"/>
      <c r="M6" s="890"/>
      <c r="N6" s="893"/>
      <c r="O6" s="898"/>
      <c r="P6" s="899"/>
      <c r="Q6" s="899"/>
      <c r="R6" s="899"/>
      <c r="S6" s="900"/>
    </row>
    <row r="7" spans="1:19" ht="24" customHeight="1" thickBot="1">
      <c r="A7" s="917"/>
      <c r="B7" s="908"/>
      <c r="C7" s="905"/>
      <c r="D7" s="908"/>
      <c r="E7" s="905"/>
      <c r="F7" s="908"/>
      <c r="G7" s="905"/>
      <c r="H7" s="908"/>
      <c r="I7" s="911"/>
      <c r="J7" s="914"/>
      <c r="K7" s="911"/>
      <c r="L7" s="914"/>
      <c r="M7" s="891"/>
      <c r="N7" s="894"/>
      <c r="O7" s="567" t="s">
        <v>251</v>
      </c>
      <c r="P7" s="568" t="s">
        <v>252</v>
      </c>
      <c r="Q7" s="627" t="s">
        <v>253</v>
      </c>
      <c r="R7" s="568">
        <v>4213</v>
      </c>
      <c r="S7" s="569" t="s">
        <v>254</v>
      </c>
    </row>
    <row r="8" spans="1:19" ht="16.5" customHeight="1">
      <c r="A8" s="570" t="s">
        <v>255</v>
      </c>
      <c r="B8" s="608">
        <v>1295.3</v>
      </c>
      <c r="C8" s="613">
        <v>401.8</v>
      </c>
      <c r="D8" s="617">
        <v>126.1</v>
      </c>
      <c r="E8" s="613">
        <f>C8+D8</f>
        <v>527.9</v>
      </c>
      <c r="F8" s="617">
        <v>5.1</v>
      </c>
      <c r="G8" s="621">
        <v>18</v>
      </c>
      <c r="H8" s="617"/>
      <c r="I8" s="599"/>
      <c r="J8" s="601"/>
      <c r="K8" s="599"/>
      <c r="L8" s="601"/>
      <c r="M8" s="633">
        <f>B8+E8+F8+G8+H8+I8+J8+K8+L8</f>
        <v>1846.2999999999997</v>
      </c>
      <c r="N8" s="600"/>
      <c r="O8" s="599"/>
      <c r="P8" s="601"/>
      <c r="Q8" s="599">
        <f>O8+P8</f>
        <v>0</v>
      </c>
      <c r="R8" s="601"/>
      <c r="S8" s="628"/>
    </row>
    <row r="9" spans="1:19" ht="16.5" customHeight="1">
      <c r="A9" s="571" t="s">
        <v>256</v>
      </c>
      <c r="B9" s="609"/>
      <c r="C9" s="614"/>
      <c r="D9" s="618"/>
      <c r="E9" s="613">
        <f aca="true" t="shared" si="0" ref="E9:E34">C9+D9</f>
        <v>0</v>
      </c>
      <c r="F9" s="618"/>
      <c r="G9" s="614"/>
      <c r="H9" s="618"/>
      <c r="I9" s="603"/>
      <c r="J9" s="604"/>
      <c r="K9" s="603">
        <v>-173.6</v>
      </c>
      <c r="L9" s="601">
        <v>-258.9</v>
      </c>
      <c r="M9" s="634">
        <f aca="true" t="shared" si="1" ref="M9:M34">B9+E9+F9+G9+H9+I9+J9+K9+L9</f>
        <v>-432.5</v>
      </c>
      <c r="N9" s="602"/>
      <c r="O9" s="603"/>
      <c r="P9" s="604"/>
      <c r="Q9" s="599">
        <f aca="true" t="shared" si="2" ref="Q9:Q34">O9+P9</f>
        <v>0</v>
      </c>
      <c r="R9" s="604"/>
      <c r="S9" s="629"/>
    </row>
    <row r="10" spans="1:19" ht="16.5" customHeight="1">
      <c r="A10" s="571" t="s">
        <v>257</v>
      </c>
      <c r="B10" s="609"/>
      <c r="C10" s="614"/>
      <c r="D10" s="618"/>
      <c r="E10" s="613">
        <f t="shared" si="0"/>
        <v>0</v>
      </c>
      <c r="F10" s="618"/>
      <c r="G10" s="614"/>
      <c r="H10" s="618">
        <v>-711.9</v>
      </c>
      <c r="I10" s="603"/>
      <c r="J10" s="604"/>
      <c r="K10" s="603"/>
      <c r="L10" s="601"/>
      <c r="M10" s="634">
        <f t="shared" si="1"/>
        <v>-711.9</v>
      </c>
      <c r="N10" s="602"/>
      <c r="O10" s="603"/>
      <c r="P10" s="604"/>
      <c r="Q10" s="599">
        <f t="shared" si="2"/>
        <v>0</v>
      </c>
      <c r="R10" s="604"/>
      <c r="S10" s="629"/>
    </row>
    <row r="11" spans="1:19" ht="16.5" customHeight="1">
      <c r="A11" s="572" t="s">
        <v>258</v>
      </c>
      <c r="B11" s="609">
        <v>107.6</v>
      </c>
      <c r="C11" s="614"/>
      <c r="D11" s="618">
        <v>84</v>
      </c>
      <c r="E11" s="613">
        <f t="shared" si="0"/>
        <v>84</v>
      </c>
      <c r="F11" s="618"/>
      <c r="G11" s="614">
        <v>7.7</v>
      </c>
      <c r="H11" s="618"/>
      <c r="I11" s="603"/>
      <c r="J11" s="604"/>
      <c r="K11" s="603"/>
      <c r="L11" s="601"/>
      <c r="M11" s="634">
        <f t="shared" si="1"/>
        <v>199.29999999999998</v>
      </c>
      <c r="N11" s="602"/>
      <c r="O11" s="603"/>
      <c r="P11" s="604"/>
      <c r="Q11" s="599">
        <f t="shared" si="2"/>
        <v>0</v>
      </c>
      <c r="R11" s="604"/>
      <c r="S11" s="629"/>
    </row>
    <row r="12" spans="1:19" ht="16.5" customHeight="1">
      <c r="A12" s="571" t="s">
        <v>259</v>
      </c>
      <c r="B12" s="609"/>
      <c r="C12" s="614">
        <v>100</v>
      </c>
      <c r="D12" s="618"/>
      <c r="E12" s="613">
        <f t="shared" si="0"/>
        <v>100</v>
      </c>
      <c r="F12" s="618">
        <v>0.2</v>
      </c>
      <c r="G12" s="614">
        <v>0.5</v>
      </c>
      <c r="H12" s="618"/>
      <c r="I12" s="603"/>
      <c r="J12" s="604">
        <v>19.5</v>
      </c>
      <c r="K12" s="603"/>
      <c r="L12" s="601"/>
      <c r="M12" s="634">
        <f t="shared" si="1"/>
        <v>120.2</v>
      </c>
      <c r="N12" s="602"/>
      <c r="O12" s="603"/>
      <c r="P12" s="604"/>
      <c r="Q12" s="599">
        <f t="shared" si="2"/>
        <v>0</v>
      </c>
      <c r="R12" s="604"/>
      <c r="S12" s="629"/>
    </row>
    <row r="13" spans="1:19" ht="16.5" customHeight="1">
      <c r="A13" s="571" t="s">
        <v>260</v>
      </c>
      <c r="B13" s="609"/>
      <c r="C13" s="615"/>
      <c r="D13" s="602"/>
      <c r="E13" s="613">
        <f t="shared" si="0"/>
        <v>0</v>
      </c>
      <c r="F13" s="602"/>
      <c r="G13" s="622"/>
      <c r="H13" s="624"/>
      <c r="I13" s="603">
        <f>S13</f>
        <v>104.8</v>
      </c>
      <c r="J13" s="604"/>
      <c r="K13" s="603"/>
      <c r="L13" s="601"/>
      <c r="M13" s="634">
        <f t="shared" si="1"/>
        <v>104.8</v>
      </c>
      <c r="N13" s="602">
        <v>6.6</v>
      </c>
      <c r="O13" s="603">
        <v>0</v>
      </c>
      <c r="P13" s="604">
        <v>93.5</v>
      </c>
      <c r="Q13" s="599">
        <f t="shared" si="2"/>
        <v>93.5</v>
      </c>
      <c r="R13" s="604">
        <v>4.7</v>
      </c>
      <c r="S13" s="630">
        <f>Q13+R13+N13</f>
        <v>104.8</v>
      </c>
    </row>
    <row r="14" spans="1:19" ht="16.5" customHeight="1">
      <c r="A14" s="571" t="s">
        <v>261</v>
      </c>
      <c r="B14" s="609"/>
      <c r="C14" s="615"/>
      <c r="D14" s="602"/>
      <c r="E14" s="613">
        <f t="shared" si="0"/>
        <v>0</v>
      </c>
      <c r="F14" s="602"/>
      <c r="G14" s="622"/>
      <c r="H14" s="624"/>
      <c r="I14" s="603">
        <f aca="true" t="shared" si="3" ref="I14:I34">S14</f>
        <v>4.1</v>
      </c>
      <c r="J14" s="604"/>
      <c r="K14" s="603"/>
      <c r="L14" s="601"/>
      <c r="M14" s="634">
        <f t="shared" si="1"/>
        <v>4.1</v>
      </c>
      <c r="N14" s="602">
        <v>2.7</v>
      </c>
      <c r="O14" s="603">
        <v>0</v>
      </c>
      <c r="P14" s="604">
        <v>0.4</v>
      </c>
      <c r="Q14" s="599">
        <f t="shared" si="2"/>
        <v>0.4</v>
      </c>
      <c r="R14" s="604">
        <v>1</v>
      </c>
      <c r="S14" s="630">
        <f aca="true" t="shared" si="4" ref="S14:S34">Q14+R14+N14</f>
        <v>4.1</v>
      </c>
    </row>
    <row r="15" spans="1:19" ht="16.5" customHeight="1">
      <c r="A15" s="571" t="s">
        <v>262</v>
      </c>
      <c r="B15" s="609"/>
      <c r="C15" s="615"/>
      <c r="D15" s="602"/>
      <c r="E15" s="613">
        <f t="shared" si="0"/>
        <v>0</v>
      </c>
      <c r="F15" s="602"/>
      <c r="G15" s="622"/>
      <c r="H15" s="624"/>
      <c r="I15" s="603">
        <f t="shared" si="3"/>
        <v>4</v>
      </c>
      <c r="J15" s="604"/>
      <c r="K15" s="603"/>
      <c r="L15" s="601"/>
      <c r="M15" s="634">
        <f t="shared" si="1"/>
        <v>4</v>
      </c>
      <c r="N15" s="602">
        <v>1.8</v>
      </c>
      <c r="O15" s="603">
        <v>0</v>
      </c>
      <c r="P15" s="604">
        <v>0.2</v>
      </c>
      <c r="Q15" s="599">
        <f t="shared" si="2"/>
        <v>0.2</v>
      </c>
      <c r="R15" s="604">
        <v>2</v>
      </c>
      <c r="S15" s="630">
        <f t="shared" si="4"/>
        <v>4</v>
      </c>
    </row>
    <row r="16" spans="1:19" ht="16.5" customHeight="1">
      <c r="A16" s="571" t="s">
        <v>263</v>
      </c>
      <c r="B16" s="609"/>
      <c r="C16" s="615"/>
      <c r="D16" s="602"/>
      <c r="E16" s="613">
        <f t="shared" si="0"/>
        <v>0</v>
      </c>
      <c r="F16" s="602"/>
      <c r="G16" s="622"/>
      <c r="H16" s="624"/>
      <c r="I16" s="603">
        <f t="shared" si="3"/>
        <v>346.99999999999994</v>
      </c>
      <c r="J16" s="604"/>
      <c r="K16" s="603"/>
      <c r="L16" s="601"/>
      <c r="M16" s="634">
        <f t="shared" si="1"/>
        <v>346.99999999999994</v>
      </c>
      <c r="N16" s="602">
        <v>2.4</v>
      </c>
      <c r="O16" s="603">
        <v>333.8</v>
      </c>
      <c r="P16" s="604">
        <v>2.9</v>
      </c>
      <c r="Q16" s="599">
        <f t="shared" si="2"/>
        <v>336.7</v>
      </c>
      <c r="R16" s="604">
        <v>7.9</v>
      </c>
      <c r="S16" s="630">
        <f t="shared" si="4"/>
        <v>346.99999999999994</v>
      </c>
    </row>
    <row r="17" spans="1:19" ht="16.5" customHeight="1">
      <c r="A17" s="571" t="s">
        <v>264</v>
      </c>
      <c r="B17" s="609"/>
      <c r="C17" s="615"/>
      <c r="D17" s="602"/>
      <c r="E17" s="613">
        <f t="shared" si="0"/>
        <v>0</v>
      </c>
      <c r="F17" s="602"/>
      <c r="G17" s="622"/>
      <c r="H17" s="624"/>
      <c r="I17" s="603">
        <f t="shared" si="3"/>
        <v>6.7</v>
      </c>
      <c r="J17" s="604"/>
      <c r="K17" s="603"/>
      <c r="L17" s="601"/>
      <c r="M17" s="634">
        <f t="shared" si="1"/>
        <v>6.7</v>
      </c>
      <c r="N17" s="600">
        <v>1.3</v>
      </c>
      <c r="O17" s="603">
        <v>0</v>
      </c>
      <c r="P17" s="604">
        <v>1.8</v>
      </c>
      <c r="Q17" s="599">
        <f t="shared" si="2"/>
        <v>1.8</v>
      </c>
      <c r="R17" s="604">
        <v>3.6</v>
      </c>
      <c r="S17" s="630">
        <f t="shared" si="4"/>
        <v>6.7</v>
      </c>
    </row>
    <row r="18" spans="1:19" ht="16.5" customHeight="1">
      <c r="A18" s="571" t="s">
        <v>265</v>
      </c>
      <c r="B18" s="609"/>
      <c r="C18" s="615"/>
      <c r="D18" s="602"/>
      <c r="E18" s="613">
        <f t="shared" si="0"/>
        <v>0</v>
      </c>
      <c r="F18" s="602"/>
      <c r="G18" s="622"/>
      <c r="H18" s="624"/>
      <c r="I18" s="603">
        <f t="shared" si="3"/>
        <v>2.8</v>
      </c>
      <c r="J18" s="604"/>
      <c r="K18" s="603"/>
      <c r="L18" s="601"/>
      <c r="M18" s="634">
        <f t="shared" si="1"/>
        <v>2.8</v>
      </c>
      <c r="N18" s="600">
        <v>1.9</v>
      </c>
      <c r="O18" s="603"/>
      <c r="P18" s="604">
        <v>0.5</v>
      </c>
      <c r="Q18" s="599">
        <f t="shared" si="2"/>
        <v>0.5</v>
      </c>
      <c r="R18" s="604">
        <v>0.4</v>
      </c>
      <c r="S18" s="630">
        <f t="shared" si="4"/>
        <v>2.8</v>
      </c>
    </row>
    <row r="19" spans="1:19" ht="16.5" customHeight="1">
      <c r="A19" s="571" t="s">
        <v>266</v>
      </c>
      <c r="B19" s="609"/>
      <c r="C19" s="615"/>
      <c r="D19" s="602"/>
      <c r="E19" s="613">
        <f t="shared" si="0"/>
        <v>0</v>
      </c>
      <c r="F19" s="602"/>
      <c r="G19" s="622"/>
      <c r="H19" s="624"/>
      <c r="I19" s="603">
        <f t="shared" si="3"/>
        <v>20.700000000000003</v>
      </c>
      <c r="J19" s="604"/>
      <c r="K19" s="603"/>
      <c r="L19" s="601"/>
      <c r="M19" s="634">
        <f t="shared" si="1"/>
        <v>20.700000000000003</v>
      </c>
      <c r="N19" s="600">
        <v>0</v>
      </c>
      <c r="O19" s="603">
        <v>0</v>
      </c>
      <c r="P19" s="604">
        <v>19.1</v>
      </c>
      <c r="Q19" s="599">
        <f t="shared" si="2"/>
        <v>19.1</v>
      </c>
      <c r="R19" s="604">
        <v>1.6</v>
      </c>
      <c r="S19" s="630">
        <f t="shared" si="4"/>
        <v>20.700000000000003</v>
      </c>
    </row>
    <row r="20" spans="1:19" ht="16.5" customHeight="1">
      <c r="A20" s="571" t="s">
        <v>267</v>
      </c>
      <c r="B20" s="609"/>
      <c r="C20" s="615"/>
      <c r="D20" s="602"/>
      <c r="E20" s="613">
        <f t="shared" si="0"/>
        <v>0</v>
      </c>
      <c r="F20" s="602"/>
      <c r="G20" s="622"/>
      <c r="H20" s="624"/>
      <c r="I20" s="603">
        <f t="shared" si="3"/>
        <v>77.6</v>
      </c>
      <c r="J20" s="604"/>
      <c r="K20" s="603"/>
      <c r="L20" s="601"/>
      <c r="M20" s="634">
        <f t="shared" si="1"/>
        <v>77.6</v>
      </c>
      <c r="N20" s="600">
        <v>4.6</v>
      </c>
      <c r="O20" s="603">
        <v>56.2</v>
      </c>
      <c r="P20" s="604">
        <v>16.8</v>
      </c>
      <c r="Q20" s="599">
        <f t="shared" si="2"/>
        <v>73</v>
      </c>
      <c r="R20" s="604">
        <v>0</v>
      </c>
      <c r="S20" s="630">
        <f t="shared" si="4"/>
        <v>77.6</v>
      </c>
    </row>
    <row r="21" spans="1:19" ht="16.5" customHeight="1">
      <c r="A21" s="571" t="s">
        <v>268</v>
      </c>
      <c r="B21" s="609"/>
      <c r="C21" s="615"/>
      <c r="D21" s="602"/>
      <c r="E21" s="613">
        <f t="shared" si="0"/>
        <v>0</v>
      </c>
      <c r="F21" s="602"/>
      <c r="G21" s="622"/>
      <c r="H21" s="624"/>
      <c r="I21" s="603">
        <f t="shared" si="3"/>
        <v>4.800000000000001</v>
      </c>
      <c r="J21" s="604"/>
      <c r="K21" s="603"/>
      <c r="L21" s="601"/>
      <c r="M21" s="634">
        <f t="shared" si="1"/>
        <v>4.800000000000001</v>
      </c>
      <c r="N21" s="600">
        <v>0.9</v>
      </c>
      <c r="O21" s="603">
        <v>0</v>
      </c>
      <c r="P21" s="604">
        <v>0.2</v>
      </c>
      <c r="Q21" s="599">
        <f t="shared" si="2"/>
        <v>0.2</v>
      </c>
      <c r="R21" s="604">
        <v>3.7</v>
      </c>
      <c r="S21" s="630">
        <f t="shared" si="4"/>
        <v>4.800000000000001</v>
      </c>
    </row>
    <row r="22" spans="1:19" ht="16.5" customHeight="1">
      <c r="A22" s="571" t="s">
        <v>269</v>
      </c>
      <c r="B22" s="609"/>
      <c r="C22" s="615"/>
      <c r="D22" s="602"/>
      <c r="E22" s="613">
        <f t="shared" si="0"/>
        <v>0</v>
      </c>
      <c r="F22" s="602"/>
      <c r="G22" s="622"/>
      <c r="H22" s="624"/>
      <c r="I22" s="603">
        <f t="shared" si="3"/>
        <v>213.8</v>
      </c>
      <c r="J22" s="604"/>
      <c r="K22" s="603"/>
      <c r="L22" s="601"/>
      <c r="M22" s="634">
        <f t="shared" si="1"/>
        <v>213.8</v>
      </c>
      <c r="N22" s="600">
        <v>4.8</v>
      </c>
      <c r="O22" s="603">
        <v>204.6</v>
      </c>
      <c r="P22" s="604">
        <v>3.3</v>
      </c>
      <c r="Q22" s="599">
        <f t="shared" si="2"/>
        <v>207.9</v>
      </c>
      <c r="R22" s="604">
        <v>1.1</v>
      </c>
      <c r="S22" s="630">
        <f t="shared" si="4"/>
        <v>213.8</v>
      </c>
    </row>
    <row r="23" spans="1:19" ht="16.5" customHeight="1">
      <c r="A23" s="571" t="s">
        <v>270</v>
      </c>
      <c r="B23" s="609"/>
      <c r="C23" s="615"/>
      <c r="D23" s="602"/>
      <c r="E23" s="613">
        <f t="shared" si="0"/>
        <v>0</v>
      </c>
      <c r="F23" s="602"/>
      <c r="G23" s="622"/>
      <c r="H23" s="624"/>
      <c r="I23" s="603">
        <f t="shared" si="3"/>
        <v>12.5</v>
      </c>
      <c r="J23" s="604"/>
      <c r="K23" s="603"/>
      <c r="L23" s="601"/>
      <c r="M23" s="634">
        <f t="shared" si="1"/>
        <v>12.5</v>
      </c>
      <c r="N23" s="602">
        <v>7.9</v>
      </c>
      <c r="O23" s="603">
        <v>0</v>
      </c>
      <c r="P23" s="604">
        <v>3.8</v>
      </c>
      <c r="Q23" s="599">
        <f t="shared" si="2"/>
        <v>3.8</v>
      </c>
      <c r="R23" s="604">
        <v>0.8</v>
      </c>
      <c r="S23" s="630">
        <f t="shared" si="4"/>
        <v>12.5</v>
      </c>
    </row>
    <row r="24" spans="1:19" ht="16.5" customHeight="1">
      <c r="A24" s="571" t="s">
        <v>271</v>
      </c>
      <c r="B24" s="609"/>
      <c r="C24" s="615"/>
      <c r="D24" s="602"/>
      <c r="E24" s="613">
        <f t="shared" si="0"/>
        <v>0</v>
      </c>
      <c r="F24" s="602"/>
      <c r="G24" s="622"/>
      <c r="H24" s="624"/>
      <c r="I24" s="603">
        <f t="shared" si="3"/>
        <v>5.6</v>
      </c>
      <c r="J24" s="604"/>
      <c r="K24" s="603"/>
      <c r="L24" s="601"/>
      <c r="M24" s="634">
        <f t="shared" si="1"/>
        <v>5.6</v>
      </c>
      <c r="N24" s="602">
        <v>3.9</v>
      </c>
      <c r="O24" s="603"/>
      <c r="P24" s="604">
        <v>1.7</v>
      </c>
      <c r="Q24" s="599">
        <f t="shared" si="2"/>
        <v>1.7</v>
      </c>
      <c r="R24" s="604"/>
      <c r="S24" s="630">
        <f t="shared" si="4"/>
        <v>5.6</v>
      </c>
    </row>
    <row r="25" spans="1:19" ht="16.5" customHeight="1">
      <c r="A25" s="573" t="s">
        <v>272</v>
      </c>
      <c r="B25" s="610"/>
      <c r="C25" s="615"/>
      <c r="D25" s="602"/>
      <c r="E25" s="613">
        <f t="shared" si="0"/>
        <v>0</v>
      </c>
      <c r="F25" s="602"/>
      <c r="G25" s="622"/>
      <c r="H25" s="624"/>
      <c r="I25" s="603">
        <f t="shared" si="3"/>
        <v>280</v>
      </c>
      <c r="J25" s="604"/>
      <c r="K25" s="603"/>
      <c r="L25" s="601"/>
      <c r="M25" s="634">
        <f t="shared" si="1"/>
        <v>280</v>
      </c>
      <c r="N25" s="602"/>
      <c r="O25" s="603">
        <v>269.1</v>
      </c>
      <c r="P25" s="604">
        <v>9.5</v>
      </c>
      <c r="Q25" s="599">
        <f t="shared" si="2"/>
        <v>278.6</v>
      </c>
      <c r="R25" s="604">
        <v>1.4</v>
      </c>
      <c r="S25" s="630">
        <f t="shared" si="4"/>
        <v>280</v>
      </c>
    </row>
    <row r="26" spans="1:19" ht="16.5" customHeight="1">
      <c r="A26" s="571" t="s">
        <v>273</v>
      </c>
      <c r="B26" s="609"/>
      <c r="C26" s="615"/>
      <c r="D26" s="602"/>
      <c r="E26" s="614">
        <f t="shared" si="0"/>
        <v>0</v>
      </c>
      <c r="F26" s="602"/>
      <c r="G26" s="622"/>
      <c r="H26" s="624"/>
      <c r="I26" s="603">
        <f t="shared" si="3"/>
        <v>3.9</v>
      </c>
      <c r="J26" s="604"/>
      <c r="K26" s="603"/>
      <c r="L26" s="604"/>
      <c r="M26" s="634">
        <f t="shared" si="1"/>
        <v>3.9</v>
      </c>
      <c r="N26" s="602"/>
      <c r="O26" s="603"/>
      <c r="P26" s="604">
        <v>1.9</v>
      </c>
      <c r="Q26" s="603">
        <f t="shared" si="2"/>
        <v>1.9</v>
      </c>
      <c r="R26" s="604">
        <v>2</v>
      </c>
      <c r="S26" s="630">
        <f t="shared" si="4"/>
        <v>3.9</v>
      </c>
    </row>
    <row r="27" spans="1:19" ht="16.5" customHeight="1">
      <c r="A27" s="574" t="s">
        <v>274</v>
      </c>
      <c r="B27" s="611"/>
      <c r="C27" s="615"/>
      <c r="D27" s="602"/>
      <c r="E27" s="614">
        <f t="shared" si="0"/>
        <v>0</v>
      </c>
      <c r="F27" s="602"/>
      <c r="G27" s="622"/>
      <c r="H27" s="624"/>
      <c r="I27" s="603">
        <f t="shared" si="3"/>
        <v>2.3</v>
      </c>
      <c r="J27" s="604"/>
      <c r="K27" s="603"/>
      <c r="L27" s="604"/>
      <c r="M27" s="634">
        <f t="shared" si="1"/>
        <v>2.3</v>
      </c>
      <c r="N27" s="602"/>
      <c r="O27" s="603"/>
      <c r="P27" s="604"/>
      <c r="Q27" s="603">
        <f t="shared" si="2"/>
        <v>0</v>
      </c>
      <c r="R27" s="604">
        <v>2.3</v>
      </c>
      <c r="S27" s="630">
        <f t="shared" si="4"/>
        <v>2.3</v>
      </c>
    </row>
    <row r="28" spans="1:19" ht="16.5" customHeight="1">
      <c r="A28" s="574" t="s">
        <v>204</v>
      </c>
      <c r="B28" s="611"/>
      <c r="C28" s="615"/>
      <c r="D28" s="602"/>
      <c r="E28" s="614">
        <f t="shared" si="0"/>
        <v>0</v>
      </c>
      <c r="F28" s="602"/>
      <c r="G28" s="622"/>
      <c r="H28" s="624"/>
      <c r="I28" s="603">
        <f t="shared" si="3"/>
        <v>6.2</v>
      </c>
      <c r="J28" s="604"/>
      <c r="K28" s="603"/>
      <c r="L28" s="604"/>
      <c r="M28" s="634">
        <f t="shared" si="1"/>
        <v>6.2</v>
      </c>
      <c r="N28" s="602"/>
      <c r="O28" s="603"/>
      <c r="P28" s="604">
        <v>6.2</v>
      </c>
      <c r="Q28" s="603">
        <f t="shared" si="2"/>
        <v>6.2</v>
      </c>
      <c r="R28" s="604"/>
      <c r="S28" s="630">
        <f t="shared" si="4"/>
        <v>6.2</v>
      </c>
    </row>
    <row r="29" spans="1:19" ht="16.5" customHeight="1">
      <c r="A29" s="574" t="s">
        <v>203</v>
      </c>
      <c r="B29" s="611"/>
      <c r="C29" s="615"/>
      <c r="D29" s="602"/>
      <c r="E29" s="614">
        <f t="shared" si="0"/>
        <v>0</v>
      </c>
      <c r="F29" s="602"/>
      <c r="G29" s="622"/>
      <c r="H29" s="624"/>
      <c r="I29" s="603">
        <f t="shared" si="3"/>
        <v>38.9</v>
      </c>
      <c r="J29" s="604"/>
      <c r="K29" s="603"/>
      <c r="L29" s="604"/>
      <c r="M29" s="634">
        <f t="shared" si="1"/>
        <v>38.9</v>
      </c>
      <c r="N29" s="602"/>
      <c r="O29" s="603"/>
      <c r="P29" s="604">
        <v>35.6</v>
      </c>
      <c r="Q29" s="603">
        <f t="shared" si="2"/>
        <v>35.6</v>
      </c>
      <c r="R29" s="604">
        <v>3.3</v>
      </c>
      <c r="S29" s="630">
        <f t="shared" si="4"/>
        <v>38.9</v>
      </c>
    </row>
    <row r="30" spans="1:19" ht="16.5" customHeight="1">
      <c r="A30" s="574" t="s">
        <v>199</v>
      </c>
      <c r="B30" s="611"/>
      <c r="C30" s="615"/>
      <c r="D30" s="602"/>
      <c r="E30" s="614">
        <f t="shared" si="0"/>
        <v>0</v>
      </c>
      <c r="F30" s="602"/>
      <c r="G30" s="622"/>
      <c r="H30" s="624"/>
      <c r="I30" s="603">
        <f t="shared" si="3"/>
        <v>125.89999999999999</v>
      </c>
      <c r="J30" s="604"/>
      <c r="K30" s="603"/>
      <c r="L30" s="604"/>
      <c r="M30" s="634">
        <f t="shared" si="1"/>
        <v>125.89999999999999</v>
      </c>
      <c r="N30" s="602"/>
      <c r="O30" s="603">
        <v>122.1</v>
      </c>
      <c r="P30" s="604">
        <v>3.8</v>
      </c>
      <c r="Q30" s="603">
        <f t="shared" si="2"/>
        <v>125.89999999999999</v>
      </c>
      <c r="R30" s="604"/>
      <c r="S30" s="630">
        <f t="shared" si="4"/>
        <v>125.89999999999999</v>
      </c>
    </row>
    <row r="31" spans="1:19" ht="16.5" customHeight="1">
      <c r="A31" s="574" t="s">
        <v>198</v>
      </c>
      <c r="B31" s="611"/>
      <c r="C31" s="615"/>
      <c r="D31" s="602"/>
      <c r="E31" s="614">
        <f t="shared" si="0"/>
        <v>0</v>
      </c>
      <c r="F31" s="602"/>
      <c r="G31" s="622"/>
      <c r="H31" s="624"/>
      <c r="I31" s="603">
        <f t="shared" si="3"/>
        <v>193.2</v>
      </c>
      <c r="J31" s="604"/>
      <c r="K31" s="603"/>
      <c r="L31" s="604"/>
      <c r="M31" s="634">
        <f t="shared" si="1"/>
        <v>193.2</v>
      </c>
      <c r="N31" s="602"/>
      <c r="O31" s="603">
        <v>193.2</v>
      </c>
      <c r="P31" s="604">
        <v>0</v>
      </c>
      <c r="Q31" s="603">
        <f t="shared" si="2"/>
        <v>193.2</v>
      </c>
      <c r="R31" s="604">
        <v>0</v>
      </c>
      <c r="S31" s="630">
        <f t="shared" si="4"/>
        <v>193.2</v>
      </c>
    </row>
    <row r="32" spans="1:19" ht="16.5" customHeight="1">
      <c r="A32" s="574" t="s">
        <v>200</v>
      </c>
      <c r="B32" s="611"/>
      <c r="C32" s="615"/>
      <c r="D32" s="602"/>
      <c r="E32" s="613">
        <f t="shared" si="0"/>
        <v>0</v>
      </c>
      <c r="F32" s="602"/>
      <c r="G32" s="622"/>
      <c r="H32" s="624"/>
      <c r="I32" s="603">
        <f t="shared" si="3"/>
        <v>71.4</v>
      </c>
      <c r="J32" s="604"/>
      <c r="K32" s="603"/>
      <c r="L32" s="601"/>
      <c r="M32" s="634">
        <f t="shared" si="1"/>
        <v>71.4</v>
      </c>
      <c r="N32" s="602"/>
      <c r="O32" s="603">
        <v>71.4</v>
      </c>
      <c r="P32" s="604"/>
      <c r="Q32" s="603">
        <f t="shared" si="2"/>
        <v>71.4</v>
      </c>
      <c r="R32" s="604"/>
      <c r="S32" s="630">
        <f t="shared" si="4"/>
        <v>71.4</v>
      </c>
    </row>
    <row r="33" spans="1:19" ht="16.5" customHeight="1">
      <c r="A33" s="574" t="s">
        <v>110</v>
      </c>
      <c r="B33" s="611"/>
      <c r="C33" s="615"/>
      <c r="D33" s="602"/>
      <c r="E33" s="613">
        <f t="shared" si="0"/>
        <v>0</v>
      </c>
      <c r="F33" s="602"/>
      <c r="G33" s="622"/>
      <c r="H33" s="624"/>
      <c r="I33" s="603">
        <f t="shared" si="3"/>
        <v>466.3</v>
      </c>
      <c r="J33" s="604"/>
      <c r="K33" s="603"/>
      <c r="L33" s="601"/>
      <c r="M33" s="634">
        <f t="shared" si="1"/>
        <v>466.3</v>
      </c>
      <c r="N33" s="602"/>
      <c r="O33" s="603"/>
      <c r="P33" s="604">
        <v>466.3</v>
      </c>
      <c r="Q33" s="603">
        <f t="shared" si="2"/>
        <v>466.3</v>
      </c>
      <c r="R33" s="604"/>
      <c r="S33" s="630">
        <f t="shared" si="4"/>
        <v>466.3</v>
      </c>
    </row>
    <row r="34" spans="1:19" ht="16.5" customHeight="1" thickBot="1">
      <c r="A34" s="575" t="s">
        <v>205</v>
      </c>
      <c r="B34" s="612"/>
      <c r="C34" s="616"/>
      <c r="D34" s="619"/>
      <c r="E34" s="620">
        <f t="shared" si="0"/>
        <v>0</v>
      </c>
      <c r="F34" s="619"/>
      <c r="G34" s="623"/>
      <c r="H34" s="625"/>
      <c r="I34" s="607">
        <f t="shared" si="3"/>
        <v>0.5</v>
      </c>
      <c r="J34" s="626"/>
      <c r="K34" s="605"/>
      <c r="L34" s="626"/>
      <c r="M34" s="635">
        <f t="shared" si="1"/>
        <v>0.5</v>
      </c>
      <c r="N34" s="606"/>
      <c r="O34" s="607"/>
      <c r="P34" s="606">
        <v>0.5</v>
      </c>
      <c r="Q34" s="607">
        <f t="shared" si="2"/>
        <v>0.5</v>
      </c>
      <c r="R34" s="606"/>
      <c r="S34" s="631">
        <f t="shared" si="4"/>
        <v>0.5</v>
      </c>
    </row>
    <row r="35" spans="1:20" s="694" customFormat="1" ht="23.25" customHeight="1" thickBot="1">
      <c r="A35" s="692" t="s">
        <v>208</v>
      </c>
      <c r="B35" s="636">
        <f aca="true" t="shared" si="5" ref="B35:M35">SUM(B8:B34)</f>
        <v>1402.8999999999999</v>
      </c>
      <c r="C35" s="637">
        <f t="shared" si="5"/>
        <v>501.8</v>
      </c>
      <c r="D35" s="636">
        <f t="shared" si="5"/>
        <v>210.1</v>
      </c>
      <c r="E35" s="637">
        <f t="shared" si="5"/>
        <v>711.9</v>
      </c>
      <c r="F35" s="636">
        <f t="shared" si="5"/>
        <v>5.3</v>
      </c>
      <c r="G35" s="637">
        <f t="shared" si="5"/>
        <v>26.2</v>
      </c>
      <c r="H35" s="636">
        <f t="shared" si="5"/>
        <v>-711.9</v>
      </c>
      <c r="I35" s="637">
        <f t="shared" si="5"/>
        <v>1993.0000000000005</v>
      </c>
      <c r="J35" s="636">
        <f t="shared" si="5"/>
        <v>19.5</v>
      </c>
      <c r="K35" s="637">
        <f t="shared" si="5"/>
        <v>-173.6</v>
      </c>
      <c r="L35" s="636">
        <f t="shared" si="5"/>
        <v>-258.9</v>
      </c>
      <c r="M35" s="632">
        <f t="shared" si="5"/>
        <v>3014.3999999999996</v>
      </c>
      <c r="N35" s="636">
        <f aca="true" t="shared" si="6" ref="N35:S35">SUM(N8:N34)</f>
        <v>38.800000000000004</v>
      </c>
      <c r="O35" s="637">
        <f t="shared" si="6"/>
        <v>1250.4</v>
      </c>
      <c r="P35" s="636">
        <f t="shared" si="6"/>
        <v>668</v>
      </c>
      <c r="Q35" s="637">
        <f t="shared" si="6"/>
        <v>1918.4</v>
      </c>
      <c r="R35" s="636">
        <f t="shared" si="6"/>
        <v>35.8</v>
      </c>
      <c r="S35" s="636">
        <f t="shared" si="6"/>
        <v>1993.0000000000005</v>
      </c>
      <c r="T35" s="693"/>
    </row>
    <row r="36" spans="3:19" ht="6.75" customHeight="1">
      <c r="C36" s="576"/>
      <c r="D36" s="57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</row>
    <row r="37" spans="2:19" s="695" customFormat="1" ht="15.75" customHeight="1" hidden="1">
      <c r="B37" s="695" t="s">
        <v>313</v>
      </c>
      <c r="I37" s="696" t="s">
        <v>316</v>
      </c>
      <c r="J37" s="696"/>
      <c r="K37" s="696"/>
      <c r="L37" s="696"/>
      <c r="M37" s="696"/>
      <c r="N37" s="696"/>
      <c r="O37" s="696"/>
      <c r="P37" s="696"/>
      <c r="Q37" s="696"/>
      <c r="R37" s="696"/>
      <c r="S37" s="696"/>
    </row>
    <row r="38" spans="2:9" s="695" customFormat="1" ht="15.75" customHeight="1" hidden="1">
      <c r="B38" s="695" t="s">
        <v>314</v>
      </c>
      <c r="I38" s="695" t="s">
        <v>317</v>
      </c>
    </row>
    <row r="39" spans="2:9" s="695" customFormat="1" ht="15.75" customHeight="1" hidden="1">
      <c r="B39" s="695" t="s">
        <v>315</v>
      </c>
      <c r="I39" s="695" t="s">
        <v>318</v>
      </c>
    </row>
    <row r="40" ht="12.75" hidden="1"/>
  </sheetData>
  <sheetProtection/>
  <mergeCells count="17">
    <mergeCell ref="L5:L7"/>
    <mergeCell ref="A5:A7"/>
    <mergeCell ref="B5:B7"/>
    <mergeCell ref="C5:C7"/>
    <mergeCell ref="D5:D7"/>
    <mergeCell ref="E5:E7"/>
    <mergeCell ref="F5:F7"/>
    <mergeCell ref="M5:M7"/>
    <mergeCell ref="N5:N7"/>
    <mergeCell ref="O5:S6"/>
    <mergeCell ref="A2:S2"/>
    <mergeCell ref="A3:S3"/>
    <mergeCell ref="G5:G7"/>
    <mergeCell ref="H5:H7"/>
    <mergeCell ref="I5:I7"/>
    <mergeCell ref="J5:J7"/>
    <mergeCell ref="K5:K7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4">
      <selection activeCell="Q30" sqref="Q30"/>
    </sheetView>
  </sheetViews>
  <sheetFormatPr defaultColWidth="9.140625" defaultRowHeight="12.75"/>
  <cols>
    <col min="1" max="1" width="4.421875" style="597" customWidth="1"/>
    <col min="5" max="5" width="8.421875" style="0" customWidth="1"/>
    <col min="6" max="6" width="8.7109375" style="0" customWidth="1"/>
    <col min="7" max="7" width="10.8515625" style="0" customWidth="1"/>
    <col min="8" max="8" width="9.140625" style="0" customWidth="1"/>
    <col min="9" max="9" width="7.8515625" style="0" customWidth="1"/>
    <col min="10" max="10" width="8.140625" style="0" customWidth="1"/>
    <col min="11" max="11" width="10.7109375" style="0" customWidth="1"/>
    <col min="12" max="12" width="11.421875" style="0" customWidth="1"/>
  </cols>
  <sheetData>
    <row r="1" spans="1:11" s="1" customFormat="1" ht="15.75" customHeight="1">
      <c r="A1" s="763" t="s">
        <v>22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</row>
    <row r="2" spans="1:6" s="1" customFormat="1" ht="12.75">
      <c r="A2" s="29"/>
      <c r="D2" s="29"/>
      <c r="E2" s="29"/>
      <c r="F2" s="29"/>
    </row>
    <row r="3" spans="1:11" s="1" customFormat="1" ht="30" customHeight="1">
      <c r="A3" s="764" t="s">
        <v>238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s="1" customFormat="1" ht="30" customHeight="1" thickBot="1">
      <c r="A4" s="524"/>
      <c r="B4" s="524"/>
      <c r="C4" s="524"/>
      <c r="D4" s="524"/>
      <c r="E4" s="524"/>
      <c r="F4" s="524"/>
      <c r="G4" s="524"/>
      <c r="H4" s="524"/>
      <c r="I4" s="524"/>
      <c r="J4" s="524"/>
      <c r="K4" s="525" t="s">
        <v>241</v>
      </c>
    </row>
    <row r="5" spans="1:11" s="576" customFormat="1" ht="26.25" thickBot="1">
      <c r="A5" s="690" t="s">
        <v>311</v>
      </c>
      <c r="B5" s="933" t="s">
        <v>233</v>
      </c>
      <c r="C5" s="934"/>
      <c r="D5" s="934"/>
      <c r="E5" s="511" t="s">
        <v>234</v>
      </c>
      <c r="F5" s="511" t="s">
        <v>310</v>
      </c>
      <c r="G5" s="512" t="s">
        <v>235</v>
      </c>
      <c r="H5" s="512" t="s">
        <v>236</v>
      </c>
      <c r="I5" s="531" t="s">
        <v>242</v>
      </c>
      <c r="J5" s="531" t="s">
        <v>243</v>
      </c>
      <c r="K5" s="691" t="s">
        <v>103</v>
      </c>
    </row>
    <row r="6" spans="1:11" ht="23.25" customHeight="1">
      <c r="A6" s="684">
        <v>1</v>
      </c>
      <c r="B6" s="931" t="s">
        <v>184</v>
      </c>
      <c r="C6" s="931"/>
      <c r="D6" s="932"/>
      <c r="E6" s="509">
        <v>6568</v>
      </c>
      <c r="F6" s="509">
        <v>93487</v>
      </c>
      <c r="G6" s="509">
        <v>0</v>
      </c>
      <c r="H6" s="509">
        <v>4760</v>
      </c>
      <c r="I6" s="526"/>
      <c r="J6" s="526"/>
      <c r="K6" s="510">
        <f>SUM(E6:J6)</f>
        <v>104815</v>
      </c>
    </row>
    <row r="7" spans="1:11" ht="23.25" customHeight="1">
      <c r="A7" s="685">
        <v>2</v>
      </c>
      <c r="B7" s="918" t="s">
        <v>185</v>
      </c>
      <c r="C7" s="919"/>
      <c r="D7" s="919"/>
      <c r="E7" s="507">
        <v>2751</v>
      </c>
      <c r="F7" s="507">
        <v>381</v>
      </c>
      <c r="G7" s="507">
        <v>0</v>
      </c>
      <c r="H7" s="507">
        <v>980</v>
      </c>
      <c r="I7" s="527"/>
      <c r="J7" s="527"/>
      <c r="K7" s="510">
        <f aca="true" t="shared" si="0" ref="K7:K17">SUM(E7:J7)</f>
        <v>4112</v>
      </c>
    </row>
    <row r="8" spans="1:11" ht="23.25" customHeight="1">
      <c r="A8" s="685">
        <v>3</v>
      </c>
      <c r="B8" s="918" t="s">
        <v>186</v>
      </c>
      <c r="C8" s="919"/>
      <c r="D8" s="919"/>
      <c r="E8" s="507">
        <v>1766</v>
      </c>
      <c r="F8" s="507">
        <v>233</v>
      </c>
      <c r="G8" s="507">
        <v>0</v>
      </c>
      <c r="H8" s="507">
        <v>2040</v>
      </c>
      <c r="I8" s="527"/>
      <c r="J8" s="527"/>
      <c r="K8" s="510">
        <f t="shared" si="0"/>
        <v>4039</v>
      </c>
    </row>
    <row r="9" spans="1:11" ht="23.25" customHeight="1">
      <c r="A9" s="685">
        <v>4</v>
      </c>
      <c r="B9" s="918" t="s">
        <v>187</v>
      </c>
      <c r="C9" s="919"/>
      <c r="D9" s="919"/>
      <c r="E9" s="507">
        <v>2433</v>
      </c>
      <c r="F9" s="507">
        <v>2957</v>
      </c>
      <c r="G9" s="507">
        <v>333735</v>
      </c>
      <c r="H9" s="507">
        <v>7880</v>
      </c>
      <c r="I9" s="527"/>
      <c r="J9" s="527"/>
      <c r="K9" s="510">
        <f t="shared" si="0"/>
        <v>347005</v>
      </c>
    </row>
    <row r="10" spans="1:11" ht="23.25" customHeight="1">
      <c r="A10" s="685">
        <v>5</v>
      </c>
      <c r="B10" s="918" t="s">
        <v>188</v>
      </c>
      <c r="C10" s="919"/>
      <c r="D10" s="919"/>
      <c r="E10" s="507">
        <v>1306</v>
      </c>
      <c r="F10" s="507">
        <v>1846</v>
      </c>
      <c r="G10" s="507">
        <v>0</v>
      </c>
      <c r="H10" s="507">
        <v>3600</v>
      </c>
      <c r="I10" s="527"/>
      <c r="J10" s="527"/>
      <c r="K10" s="510">
        <f t="shared" si="0"/>
        <v>6752</v>
      </c>
    </row>
    <row r="11" spans="1:11" ht="23.25" customHeight="1">
      <c r="A11" s="685">
        <v>6</v>
      </c>
      <c r="B11" s="918" t="s">
        <v>189</v>
      </c>
      <c r="C11" s="919"/>
      <c r="D11" s="919"/>
      <c r="E11" s="507">
        <v>1916</v>
      </c>
      <c r="F11" s="507">
        <v>489</v>
      </c>
      <c r="G11" s="507">
        <v>0</v>
      </c>
      <c r="H11" s="507">
        <v>360</v>
      </c>
      <c r="I11" s="527"/>
      <c r="J11" s="527"/>
      <c r="K11" s="510">
        <f t="shared" si="0"/>
        <v>2765</v>
      </c>
    </row>
    <row r="12" spans="1:11" ht="23.25" customHeight="1">
      <c r="A12" s="685">
        <v>7</v>
      </c>
      <c r="B12" s="918" t="s">
        <v>190</v>
      </c>
      <c r="C12" s="919"/>
      <c r="D12" s="919"/>
      <c r="E12" s="507">
        <v>0</v>
      </c>
      <c r="F12" s="507">
        <v>19068</v>
      </c>
      <c r="G12" s="507">
        <v>0</v>
      </c>
      <c r="H12" s="507">
        <v>1600</v>
      </c>
      <c r="I12" s="527"/>
      <c r="J12" s="527"/>
      <c r="K12" s="510">
        <f t="shared" si="0"/>
        <v>20668</v>
      </c>
    </row>
    <row r="13" spans="1:11" ht="23.25" customHeight="1">
      <c r="A13" s="685">
        <v>8</v>
      </c>
      <c r="B13" s="918" t="s">
        <v>191</v>
      </c>
      <c r="C13" s="919"/>
      <c r="D13" s="919"/>
      <c r="E13" s="507">
        <v>4628</v>
      </c>
      <c r="F13" s="507">
        <v>16760</v>
      </c>
      <c r="G13" s="507">
        <v>56194</v>
      </c>
      <c r="H13" s="507"/>
      <c r="I13" s="527"/>
      <c r="J13" s="527"/>
      <c r="K13" s="510">
        <f t="shared" si="0"/>
        <v>77582</v>
      </c>
    </row>
    <row r="14" spans="1:11" ht="23.25" customHeight="1">
      <c r="A14" s="685">
        <v>9</v>
      </c>
      <c r="B14" s="918" t="s">
        <v>192</v>
      </c>
      <c r="C14" s="919"/>
      <c r="D14" s="919"/>
      <c r="E14" s="507">
        <v>900</v>
      </c>
      <c r="F14" s="507">
        <v>244</v>
      </c>
      <c r="G14" s="507">
        <v>0</v>
      </c>
      <c r="H14" s="507">
        <v>3720</v>
      </c>
      <c r="I14" s="527"/>
      <c r="J14" s="527"/>
      <c r="K14" s="510">
        <f t="shared" si="0"/>
        <v>4864</v>
      </c>
    </row>
    <row r="15" spans="1:11" ht="23.25" customHeight="1">
      <c r="A15" s="685">
        <v>10</v>
      </c>
      <c r="B15" s="918" t="s">
        <v>193</v>
      </c>
      <c r="C15" s="919"/>
      <c r="D15" s="919"/>
      <c r="E15" s="507">
        <v>4832</v>
      </c>
      <c r="F15" s="507">
        <v>3314</v>
      </c>
      <c r="G15" s="507">
        <v>204524</v>
      </c>
      <c r="H15" s="507">
        <v>1100</v>
      </c>
      <c r="I15" s="527"/>
      <c r="J15" s="527"/>
      <c r="K15" s="510">
        <f t="shared" si="0"/>
        <v>213770</v>
      </c>
    </row>
    <row r="16" spans="1:11" ht="23.25" customHeight="1">
      <c r="A16" s="685">
        <v>11</v>
      </c>
      <c r="B16" s="918" t="s">
        <v>194</v>
      </c>
      <c r="C16" s="919"/>
      <c r="D16" s="919"/>
      <c r="E16" s="507">
        <v>7848</v>
      </c>
      <c r="F16" s="507">
        <v>3804</v>
      </c>
      <c r="G16" s="507"/>
      <c r="H16" s="507">
        <v>807</v>
      </c>
      <c r="I16" s="527"/>
      <c r="J16" s="527"/>
      <c r="K16" s="510">
        <f t="shared" si="0"/>
        <v>12459</v>
      </c>
    </row>
    <row r="17" spans="1:11" ht="23.25" customHeight="1" thickBot="1">
      <c r="A17" s="685">
        <v>12</v>
      </c>
      <c r="B17" s="937" t="s">
        <v>195</v>
      </c>
      <c r="C17" s="938"/>
      <c r="D17" s="938"/>
      <c r="E17" s="515">
        <v>3921</v>
      </c>
      <c r="F17" s="515">
        <v>1698</v>
      </c>
      <c r="G17" s="515"/>
      <c r="H17" s="515"/>
      <c r="I17" s="528"/>
      <c r="J17" s="528"/>
      <c r="K17" s="510">
        <f t="shared" si="0"/>
        <v>5619</v>
      </c>
    </row>
    <row r="18" spans="1:11" ht="23.25" customHeight="1" thickBot="1">
      <c r="A18" s="686"/>
      <c r="B18" s="935" t="s">
        <v>202</v>
      </c>
      <c r="C18" s="936"/>
      <c r="D18" s="936"/>
      <c r="E18" s="516">
        <f aca="true" t="shared" si="1" ref="E18:K18">SUM(E6:E17)</f>
        <v>38869</v>
      </c>
      <c r="F18" s="516">
        <f t="shared" si="1"/>
        <v>144281</v>
      </c>
      <c r="G18" s="516">
        <f t="shared" si="1"/>
        <v>594453</v>
      </c>
      <c r="H18" s="516">
        <f t="shared" si="1"/>
        <v>26847</v>
      </c>
      <c r="I18" s="516">
        <f t="shared" si="1"/>
        <v>0</v>
      </c>
      <c r="J18" s="516">
        <f t="shared" si="1"/>
        <v>0</v>
      </c>
      <c r="K18" s="517">
        <f t="shared" si="1"/>
        <v>804450</v>
      </c>
    </row>
    <row r="19" spans="1:11" ht="23.25" customHeight="1">
      <c r="A19" s="684">
        <v>13</v>
      </c>
      <c r="B19" s="932" t="s">
        <v>196</v>
      </c>
      <c r="C19" s="939"/>
      <c r="D19" s="939"/>
      <c r="E19" s="509">
        <v>0</v>
      </c>
      <c r="F19" s="509">
        <v>9516</v>
      </c>
      <c r="G19" s="509">
        <v>269062</v>
      </c>
      <c r="H19" s="509">
        <v>1450</v>
      </c>
      <c r="I19" s="526"/>
      <c r="J19" s="526"/>
      <c r="K19" s="510">
        <f>SUM(E19:J19)</f>
        <v>280028</v>
      </c>
    </row>
    <row r="20" spans="1:11" ht="23.25" customHeight="1">
      <c r="A20" s="685">
        <v>14</v>
      </c>
      <c r="B20" s="918" t="s">
        <v>197</v>
      </c>
      <c r="C20" s="919"/>
      <c r="D20" s="919"/>
      <c r="E20" s="507">
        <v>0</v>
      </c>
      <c r="F20" s="507">
        <v>0</v>
      </c>
      <c r="G20" s="507">
        <v>0</v>
      </c>
      <c r="H20" s="507">
        <v>2260</v>
      </c>
      <c r="I20" s="527"/>
      <c r="J20" s="527"/>
      <c r="K20" s="510">
        <f>SUM(E20:J20)</f>
        <v>2260</v>
      </c>
    </row>
    <row r="21" spans="1:11" ht="23.25" customHeight="1">
      <c r="A21" s="685">
        <v>15</v>
      </c>
      <c r="B21" s="918" t="s">
        <v>198</v>
      </c>
      <c r="C21" s="919"/>
      <c r="D21" s="919"/>
      <c r="E21" s="507"/>
      <c r="F21" s="507"/>
      <c r="G21" s="507">
        <v>193206</v>
      </c>
      <c r="H21" s="507"/>
      <c r="I21" s="527"/>
      <c r="J21" s="527"/>
      <c r="K21" s="510">
        <f>SUM(E21:J21)</f>
        <v>193206</v>
      </c>
    </row>
    <row r="22" spans="1:11" ht="23.25" customHeight="1">
      <c r="A22" s="685">
        <v>16</v>
      </c>
      <c r="B22" s="918" t="s">
        <v>199</v>
      </c>
      <c r="C22" s="919"/>
      <c r="D22" s="919"/>
      <c r="E22" s="507">
        <v>0</v>
      </c>
      <c r="F22" s="507">
        <v>3807</v>
      </c>
      <c r="G22" s="507">
        <v>122093</v>
      </c>
      <c r="H22" s="507"/>
      <c r="I22" s="527"/>
      <c r="J22" s="527"/>
      <c r="K22" s="510">
        <f>SUM(E22:J22)</f>
        <v>125900</v>
      </c>
    </row>
    <row r="23" spans="1:11" ht="23.25" customHeight="1" thickBot="1">
      <c r="A23" s="687">
        <v>17</v>
      </c>
      <c r="B23" s="937" t="s">
        <v>200</v>
      </c>
      <c r="C23" s="938"/>
      <c r="D23" s="938"/>
      <c r="E23" s="515">
        <v>0</v>
      </c>
      <c r="F23" s="515">
        <v>0</v>
      </c>
      <c r="G23" s="515">
        <v>71439</v>
      </c>
      <c r="H23" s="515"/>
      <c r="I23" s="528"/>
      <c r="J23" s="528"/>
      <c r="K23" s="510">
        <f>SUM(E23:J23)</f>
        <v>71439</v>
      </c>
    </row>
    <row r="24" spans="1:11" ht="23.25" customHeight="1" thickBot="1">
      <c r="A24" s="686"/>
      <c r="B24" s="935" t="s">
        <v>201</v>
      </c>
      <c r="C24" s="936"/>
      <c r="D24" s="936"/>
      <c r="E24" s="516">
        <f aca="true" t="shared" si="2" ref="E24:K24">SUM(E19:E23)</f>
        <v>0</v>
      </c>
      <c r="F24" s="516">
        <f t="shared" si="2"/>
        <v>13323</v>
      </c>
      <c r="G24" s="516">
        <f t="shared" si="2"/>
        <v>655800</v>
      </c>
      <c r="H24" s="516">
        <f t="shared" si="2"/>
        <v>3710</v>
      </c>
      <c r="I24" s="516">
        <f t="shared" si="2"/>
        <v>0</v>
      </c>
      <c r="J24" s="516">
        <f t="shared" si="2"/>
        <v>0</v>
      </c>
      <c r="K24" s="517">
        <f t="shared" si="2"/>
        <v>672833</v>
      </c>
    </row>
    <row r="25" spans="1:11" ht="23.25" customHeight="1">
      <c r="A25" s="684">
        <v>18</v>
      </c>
      <c r="B25" s="932" t="s">
        <v>222</v>
      </c>
      <c r="C25" s="939"/>
      <c r="D25" s="939"/>
      <c r="E25" s="509">
        <v>0</v>
      </c>
      <c r="F25" s="509">
        <v>1922</v>
      </c>
      <c r="G25" s="509">
        <v>0</v>
      </c>
      <c r="H25" s="509">
        <v>1980</v>
      </c>
      <c r="I25" s="526"/>
      <c r="J25" s="526"/>
      <c r="K25" s="510">
        <f>SUM(E25:J25)</f>
        <v>3902</v>
      </c>
    </row>
    <row r="26" spans="1:11" ht="23.25" customHeight="1">
      <c r="A26" s="685">
        <v>19</v>
      </c>
      <c r="B26" s="918" t="s">
        <v>203</v>
      </c>
      <c r="C26" s="919"/>
      <c r="D26" s="919"/>
      <c r="E26" s="507">
        <v>0</v>
      </c>
      <c r="F26" s="507">
        <v>35580</v>
      </c>
      <c r="G26" s="507">
        <v>0</v>
      </c>
      <c r="H26" s="507">
        <v>3280</v>
      </c>
      <c r="I26" s="527"/>
      <c r="J26" s="527"/>
      <c r="K26" s="510">
        <f>SUM(E26:J26)</f>
        <v>38860</v>
      </c>
    </row>
    <row r="27" spans="1:11" ht="23.25" customHeight="1">
      <c r="A27" s="685">
        <v>20</v>
      </c>
      <c r="B27" s="918" t="s">
        <v>204</v>
      </c>
      <c r="C27" s="919"/>
      <c r="D27" s="919"/>
      <c r="E27" s="507">
        <v>0</v>
      </c>
      <c r="F27" s="507">
        <v>6220</v>
      </c>
      <c r="G27" s="507">
        <v>0</v>
      </c>
      <c r="H27" s="507"/>
      <c r="I27" s="527"/>
      <c r="J27" s="527"/>
      <c r="K27" s="510">
        <f>SUM(E27:J27)</f>
        <v>6220</v>
      </c>
    </row>
    <row r="28" spans="1:11" ht="23.25" customHeight="1">
      <c r="A28" s="685">
        <v>21</v>
      </c>
      <c r="B28" s="918" t="s">
        <v>205</v>
      </c>
      <c r="C28" s="919"/>
      <c r="D28" s="919"/>
      <c r="E28" s="507">
        <v>0</v>
      </c>
      <c r="F28" s="507">
        <v>459</v>
      </c>
      <c r="G28" s="507"/>
      <c r="H28" s="507"/>
      <c r="I28" s="527"/>
      <c r="J28" s="527"/>
      <c r="K28" s="510">
        <f>SUM(E28:J28)</f>
        <v>459</v>
      </c>
    </row>
    <row r="29" spans="1:11" ht="23.25" customHeight="1" thickBot="1">
      <c r="A29" s="687">
        <v>22</v>
      </c>
      <c r="B29" s="937" t="s">
        <v>110</v>
      </c>
      <c r="C29" s="938"/>
      <c r="D29" s="938"/>
      <c r="E29" s="515">
        <v>0</v>
      </c>
      <c r="F29" s="515">
        <v>466273</v>
      </c>
      <c r="G29" s="515">
        <v>0</v>
      </c>
      <c r="H29" s="515"/>
      <c r="I29" s="528"/>
      <c r="J29" s="528"/>
      <c r="K29" s="510">
        <f>SUM(E29:J29)</f>
        <v>466273</v>
      </c>
    </row>
    <row r="30" spans="1:11" ht="23.25" customHeight="1" thickBot="1">
      <c r="A30" s="686"/>
      <c r="B30" s="935" t="s">
        <v>237</v>
      </c>
      <c r="C30" s="936"/>
      <c r="D30" s="936"/>
      <c r="E30" s="516">
        <f aca="true" t="shared" si="3" ref="E30:K30">SUM(E25:E29)</f>
        <v>0</v>
      </c>
      <c r="F30" s="516">
        <f t="shared" si="3"/>
        <v>510454</v>
      </c>
      <c r="G30" s="516">
        <f t="shared" si="3"/>
        <v>0</v>
      </c>
      <c r="H30" s="516">
        <f t="shared" si="3"/>
        <v>5260</v>
      </c>
      <c r="I30" s="516">
        <f t="shared" si="3"/>
        <v>0</v>
      </c>
      <c r="J30" s="516">
        <f t="shared" si="3"/>
        <v>0</v>
      </c>
      <c r="K30" s="517">
        <f t="shared" si="3"/>
        <v>515714</v>
      </c>
    </row>
    <row r="31" spans="1:11" ht="31.5" customHeight="1" thickBot="1">
      <c r="A31" s="686"/>
      <c r="B31" s="926" t="s">
        <v>140</v>
      </c>
      <c r="C31" s="927"/>
      <c r="D31" s="927"/>
      <c r="E31" s="513">
        <f aca="true" t="shared" si="4" ref="E31:K31">E18+E24+E30</f>
        <v>38869</v>
      </c>
      <c r="F31" s="513">
        <f t="shared" si="4"/>
        <v>668058</v>
      </c>
      <c r="G31" s="513">
        <f t="shared" si="4"/>
        <v>1250253</v>
      </c>
      <c r="H31" s="513">
        <f t="shared" si="4"/>
        <v>35817</v>
      </c>
      <c r="I31" s="513">
        <f t="shared" si="4"/>
        <v>0</v>
      </c>
      <c r="J31" s="513">
        <f t="shared" si="4"/>
        <v>0</v>
      </c>
      <c r="K31" s="514">
        <f t="shared" si="4"/>
        <v>1992997</v>
      </c>
    </row>
    <row r="32" spans="1:11" ht="25.5" customHeight="1" thickBot="1">
      <c r="A32" s="688">
        <v>23</v>
      </c>
      <c r="B32" s="928" t="s">
        <v>239</v>
      </c>
      <c r="C32" s="929"/>
      <c r="D32" s="930"/>
      <c r="E32" s="519">
        <v>0</v>
      </c>
      <c r="F32" s="519"/>
      <c r="G32" s="519">
        <v>100000</v>
      </c>
      <c r="H32" s="519">
        <v>220</v>
      </c>
      <c r="I32" s="529">
        <v>514</v>
      </c>
      <c r="J32" s="529">
        <v>19500</v>
      </c>
      <c r="K32" s="520">
        <f>H32+I32+J32+G32</f>
        <v>120234</v>
      </c>
    </row>
    <row r="33" spans="1:11" ht="31.5" customHeight="1" thickBot="1">
      <c r="A33" s="686"/>
      <c r="B33" s="940" t="s">
        <v>312</v>
      </c>
      <c r="C33" s="941"/>
      <c r="D33" s="942"/>
      <c r="E33" s="683">
        <f aca="true" t="shared" si="5" ref="E33:J33">E31+E32</f>
        <v>38869</v>
      </c>
      <c r="F33" s="683">
        <f t="shared" si="5"/>
        <v>668058</v>
      </c>
      <c r="G33" s="683">
        <f t="shared" si="5"/>
        <v>1350253</v>
      </c>
      <c r="H33" s="683">
        <f t="shared" si="5"/>
        <v>36037</v>
      </c>
      <c r="I33" s="683">
        <f t="shared" si="5"/>
        <v>514</v>
      </c>
      <c r="J33" s="683">
        <f t="shared" si="5"/>
        <v>19500</v>
      </c>
      <c r="K33" s="683">
        <f>K31+K32</f>
        <v>2113231</v>
      </c>
    </row>
    <row r="34" spans="1:11" ht="21" customHeight="1" hidden="1">
      <c r="A34" s="685"/>
      <c r="B34" s="920" t="s">
        <v>240</v>
      </c>
      <c r="C34" s="921"/>
      <c r="D34" s="922"/>
      <c r="E34" s="507"/>
      <c r="F34" s="507"/>
      <c r="G34" s="507"/>
      <c r="H34" s="507"/>
      <c r="I34" s="527"/>
      <c r="J34" s="527"/>
      <c r="K34" s="508">
        <v>7337600</v>
      </c>
    </row>
    <row r="35" spans="1:11" ht="24" customHeight="1" hidden="1" thickBot="1">
      <c r="A35" s="689"/>
      <c r="B35" s="923" t="s">
        <v>244</v>
      </c>
      <c r="C35" s="924"/>
      <c r="D35" s="925"/>
      <c r="E35" s="521"/>
      <c r="F35" s="521"/>
      <c r="G35" s="521"/>
      <c r="H35" s="521"/>
      <c r="I35" s="530"/>
      <c r="J35" s="530"/>
      <c r="K35" s="523">
        <f>K33-K34</f>
        <v>-5224369</v>
      </c>
    </row>
  </sheetData>
  <sheetProtection/>
  <mergeCells count="33">
    <mergeCell ref="A1:K1"/>
    <mergeCell ref="A3:K3"/>
    <mergeCell ref="B33:D33"/>
    <mergeCell ref="B22:D22"/>
    <mergeCell ref="B23:D23"/>
    <mergeCell ref="B11:D11"/>
    <mergeCell ref="B12:D12"/>
    <mergeCell ref="B21:D21"/>
    <mergeCell ref="B24:D24"/>
    <mergeCell ref="B25:D25"/>
    <mergeCell ref="B5:D5"/>
    <mergeCell ref="B30:D30"/>
    <mergeCell ref="B28:D28"/>
    <mergeCell ref="B29:D29"/>
    <mergeCell ref="B18:D18"/>
    <mergeCell ref="B19:D19"/>
    <mergeCell ref="B20:D20"/>
    <mergeCell ref="B17:D17"/>
    <mergeCell ref="B13:D13"/>
    <mergeCell ref="B14:D14"/>
    <mergeCell ref="B6:D6"/>
    <mergeCell ref="B15:D15"/>
    <mergeCell ref="B7:D7"/>
    <mergeCell ref="B8:D8"/>
    <mergeCell ref="B9:D9"/>
    <mergeCell ref="B10:D10"/>
    <mergeCell ref="B26:D26"/>
    <mergeCell ref="B27:D27"/>
    <mergeCell ref="B16:D16"/>
    <mergeCell ref="B34:D34"/>
    <mergeCell ref="B35:D35"/>
    <mergeCell ref="B31:D31"/>
    <mergeCell ref="B32:D32"/>
  </mergeCells>
  <printOptions/>
  <pageMargins left="0.7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ARMAVIRI QAXAQAPETARAN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&amp; ARNAK</dc:creator>
  <cp:keywords/>
  <dc:description/>
  <cp:lastModifiedBy>ANNA</cp:lastModifiedBy>
  <cp:lastPrinted>2019-02-25T12:27:56Z</cp:lastPrinted>
  <dcterms:created xsi:type="dcterms:W3CDTF">2008-01-11T07:05:18Z</dcterms:created>
  <dcterms:modified xsi:type="dcterms:W3CDTF">2019-02-25T12:29:16Z</dcterms:modified>
  <cp:category/>
  <cp:version/>
  <cp:contentType/>
  <cp:contentStatus/>
</cp:coreProperties>
</file>